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Excel_FertRecCalculator\"/>
    </mc:Choice>
  </mc:AlternateContent>
  <xr:revisionPtr revIDLastSave="0" documentId="13_ncr:1_{43D971E2-2A41-4071-B1F3-74F5F5793DAC}" xr6:coauthVersionLast="36" xr6:coauthVersionMax="45" xr10:uidLastSave="{00000000-0000-0000-0000-000000000000}"/>
  <workbookProtection workbookAlgorithmName="SHA-512" workbookHashValue="q/ikZNAi0SsqUdBoQ9xIc8gfefP6hkeHjlxjBA+tdtxdlryMDJnfVSu8IzYHI4Yc4xXBVBgM8VZkh9qycKGDng==" workbookSaltValue="RZBWUH8Dl6g4ZFAZ6PDxfQ==" workbookSpinCount="100000" lockStructure="1"/>
  <bookViews>
    <workbookView xWindow="0" yWindow="0" windowWidth="28800" windowHeight="11625" tabRatio="828" firstSheet="1" activeTab="1" xr2:uid="{00000000-000D-0000-FFFF-FFFF00000000}"/>
  </bookViews>
  <sheets>
    <sheet name="Yield Goals" sheetId="13" state="hidden" r:id="rId1"/>
    <sheet name="Information" sheetId="1" r:id="rId2"/>
    <sheet name="Sufficiency Recommendations" sheetId="10" r:id="rId3"/>
    <sheet name="Build-maint. Recommendations" sheetId="17" r:id="rId4"/>
    <sheet name="P Rec. Build" sheetId="14" state="hidden" r:id="rId5"/>
    <sheet name="K Rec. Build" sheetId="15" state="hidden" r:id="rId6"/>
    <sheet name="Crop Removal Factors" sheetId="16" r:id="rId7"/>
    <sheet name="Lime Rec." sheetId="12" state="hidden" r:id="rId8"/>
    <sheet name="N Rec." sheetId="3" state="hidden" r:id="rId9"/>
    <sheet name="P Rec." sheetId="4" state="hidden" r:id="rId10"/>
    <sheet name="K Rec." sheetId="5" state="hidden" r:id="rId11"/>
    <sheet name="Zn Rec." sheetId="7" state="hidden" r:id="rId12"/>
    <sheet name="S Rec." sheetId="6" state="hidden" r:id="rId13"/>
    <sheet name="Cl Rec." sheetId="9" state="hidden" r:id="rId14"/>
    <sheet name="B Rec." sheetId="8" state="hidden" r:id="rId15"/>
  </sheets>
  <calcPr calcId="191029"/>
</workbook>
</file>

<file path=xl/calcChain.xml><?xml version="1.0" encoding="utf-8"?>
<calcChain xmlns="http://schemas.openxmlformats.org/spreadsheetml/2006/main">
  <c r="F15" i="10" l="1"/>
  <c r="F14" i="10"/>
  <c r="F13" i="10"/>
  <c r="F12" i="10"/>
  <c r="F11" i="10"/>
  <c r="F10" i="10"/>
  <c r="F9" i="10"/>
  <c r="F8" i="10"/>
  <c r="F6" i="10"/>
  <c r="D8" i="12"/>
  <c r="Q6" i="9" l="1"/>
  <c r="P6" i="9"/>
  <c r="O6" i="9"/>
  <c r="N6" i="9"/>
  <c r="Q5" i="9"/>
  <c r="P5" i="9"/>
  <c r="O5" i="9"/>
  <c r="N5" i="9"/>
  <c r="Q4" i="9"/>
  <c r="P4" i="9"/>
  <c r="O4" i="9"/>
  <c r="N4" i="9"/>
  <c r="K6" i="9"/>
  <c r="J6" i="9"/>
  <c r="I6" i="9"/>
  <c r="K5" i="9"/>
  <c r="J5" i="9"/>
  <c r="I5" i="9"/>
  <c r="K4" i="9"/>
  <c r="J4" i="9"/>
  <c r="I4" i="9"/>
  <c r="H6" i="9"/>
  <c r="H5" i="9"/>
  <c r="H4" i="9"/>
  <c r="E5" i="9"/>
  <c r="P8" i="12" l="1"/>
  <c r="O8" i="12"/>
  <c r="J8" i="12"/>
  <c r="E6" i="9" l="1"/>
  <c r="E4" i="9"/>
  <c r="D6" i="9"/>
  <c r="D5" i="9"/>
  <c r="D4" i="9"/>
  <c r="C6" i="9"/>
  <c r="C5" i="9"/>
  <c r="C4" i="9"/>
  <c r="B6" i="9"/>
  <c r="B5" i="9"/>
  <c r="B4" i="9"/>
  <c r="B7" i="9" l="1"/>
  <c r="L4" i="10" s="1"/>
  <c r="B44" i="3"/>
  <c r="F8" i="1"/>
  <c r="B4" i="12" s="1"/>
  <c r="T89" i="3"/>
  <c r="R89" i="3"/>
  <c r="S89" i="3"/>
  <c r="Q89" i="3"/>
  <c r="M89" i="3"/>
  <c r="L89" i="3"/>
  <c r="K89" i="3"/>
  <c r="J89" i="3"/>
  <c r="F89" i="3"/>
  <c r="E89" i="3"/>
  <c r="D89" i="3"/>
  <c r="C89" i="3"/>
  <c r="Q16" i="6"/>
  <c r="P16" i="6"/>
  <c r="O16" i="6"/>
  <c r="N16" i="6"/>
  <c r="K16" i="6"/>
  <c r="J16" i="6"/>
  <c r="I16" i="6"/>
  <c r="H16" i="6"/>
  <c r="E16" i="6"/>
  <c r="D16" i="6"/>
  <c r="C16" i="6"/>
  <c r="B16" i="6"/>
  <c r="Q9" i="6"/>
  <c r="P9" i="6"/>
  <c r="O9" i="6"/>
  <c r="N9" i="6"/>
  <c r="K9" i="6"/>
  <c r="J9" i="6"/>
  <c r="I9" i="6"/>
  <c r="H9" i="6"/>
  <c r="D9" i="6"/>
  <c r="E9" i="6"/>
  <c r="C9" i="6"/>
  <c r="B9" i="6"/>
  <c r="T112" i="3"/>
  <c r="S112" i="3"/>
  <c r="R112" i="3"/>
  <c r="Q112" i="3"/>
  <c r="M112" i="3"/>
  <c r="L112" i="3"/>
  <c r="K112" i="3"/>
  <c r="J112" i="3"/>
  <c r="F112" i="3"/>
  <c r="E112" i="3"/>
  <c r="D112" i="3"/>
  <c r="C112" i="3"/>
  <c r="T106" i="3"/>
  <c r="S106" i="3"/>
  <c r="R106" i="3"/>
  <c r="Q106" i="3"/>
  <c r="M106" i="3"/>
  <c r="L106" i="3"/>
  <c r="K106" i="3"/>
  <c r="J106" i="3"/>
  <c r="F106" i="3"/>
  <c r="E106" i="3"/>
  <c r="D106" i="3"/>
  <c r="C106" i="3"/>
  <c r="T101" i="3"/>
  <c r="S101" i="3"/>
  <c r="R101" i="3"/>
  <c r="Q101" i="3"/>
  <c r="M101" i="3"/>
  <c r="L101" i="3"/>
  <c r="K101" i="3"/>
  <c r="J101" i="3"/>
  <c r="F101" i="3"/>
  <c r="E101" i="3"/>
  <c r="D101" i="3"/>
  <c r="C101" i="3"/>
  <c r="T82" i="3"/>
  <c r="S82" i="3"/>
  <c r="R82" i="3"/>
  <c r="Q82" i="3"/>
  <c r="M82" i="3"/>
  <c r="L82" i="3"/>
  <c r="K82" i="3"/>
  <c r="J82" i="3"/>
  <c r="F82" i="3"/>
  <c r="E82" i="3"/>
  <c r="D82" i="3"/>
  <c r="C82" i="3"/>
  <c r="T63" i="3"/>
  <c r="S63" i="3"/>
  <c r="R63" i="3"/>
  <c r="Q63" i="3"/>
  <c r="M63" i="3"/>
  <c r="L63" i="3"/>
  <c r="K63" i="3"/>
  <c r="J63" i="3"/>
  <c r="F63" i="3"/>
  <c r="E63" i="3"/>
  <c r="D63" i="3"/>
  <c r="C63" i="3"/>
  <c r="E44" i="3"/>
  <c r="D44" i="3"/>
  <c r="C44" i="3"/>
  <c r="S44" i="3"/>
  <c r="R44" i="3"/>
  <c r="Q44" i="3"/>
  <c r="P44" i="3"/>
  <c r="L44" i="3"/>
  <c r="K44" i="3"/>
  <c r="J44" i="3"/>
  <c r="I44" i="3"/>
  <c r="I4" i="7"/>
  <c r="I5" i="7" s="1"/>
  <c r="F116" i="3"/>
  <c r="E116" i="3"/>
  <c r="D116" i="3"/>
  <c r="C116" i="3"/>
  <c r="F111" i="3"/>
  <c r="E111" i="3"/>
  <c r="D111" i="3"/>
  <c r="C111" i="3"/>
  <c r="F105" i="3"/>
  <c r="E105" i="3"/>
  <c r="D105" i="3"/>
  <c r="C105" i="3"/>
  <c r="F100" i="3"/>
  <c r="E100" i="3"/>
  <c r="D100" i="3"/>
  <c r="C100" i="3"/>
  <c r="F99" i="3"/>
  <c r="E99" i="3"/>
  <c r="D99" i="3"/>
  <c r="C99" i="3"/>
  <c r="F98" i="3"/>
  <c r="E98" i="3"/>
  <c r="D98" i="3"/>
  <c r="C98" i="3"/>
  <c r="F97" i="3"/>
  <c r="E97" i="3"/>
  <c r="D97" i="3"/>
  <c r="C97" i="3"/>
  <c r="F96" i="3"/>
  <c r="E96" i="3"/>
  <c r="D96" i="3"/>
  <c r="C96" i="3"/>
  <c r="F95" i="3"/>
  <c r="E95" i="3"/>
  <c r="D95" i="3"/>
  <c r="C95" i="3"/>
  <c r="F94" i="3"/>
  <c r="E94" i="3"/>
  <c r="D94" i="3"/>
  <c r="C94" i="3"/>
  <c r="F93" i="3"/>
  <c r="E93" i="3"/>
  <c r="D93" i="3"/>
  <c r="C93" i="3"/>
  <c r="F92" i="3"/>
  <c r="E92" i="3"/>
  <c r="D92" i="3"/>
  <c r="C92" i="3"/>
  <c r="F91" i="3"/>
  <c r="E91" i="3"/>
  <c r="D91" i="3"/>
  <c r="C91" i="3"/>
  <c r="F90" i="3"/>
  <c r="E90" i="3"/>
  <c r="D90" i="3"/>
  <c r="C90" i="3"/>
  <c r="F88" i="3"/>
  <c r="E88" i="3"/>
  <c r="D88" i="3"/>
  <c r="C88" i="3"/>
  <c r="F87" i="3"/>
  <c r="E87" i="3"/>
  <c r="D87" i="3"/>
  <c r="C87" i="3"/>
  <c r="F86" i="3"/>
  <c r="E86" i="3"/>
  <c r="D86" i="3"/>
  <c r="C86" i="3"/>
  <c r="F81" i="3"/>
  <c r="E81" i="3"/>
  <c r="D81" i="3"/>
  <c r="C81" i="3"/>
  <c r="F80" i="3"/>
  <c r="E80" i="3"/>
  <c r="D80" i="3"/>
  <c r="C80" i="3"/>
  <c r="F79" i="3"/>
  <c r="E79" i="3"/>
  <c r="D79" i="3"/>
  <c r="C79" i="3"/>
  <c r="F78" i="3"/>
  <c r="E78" i="3"/>
  <c r="D78" i="3"/>
  <c r="C78" i="3"/>
  <c r="F77" i="3"/>
  <c r="E77" i="3"/>
  <c r="D77" i="3"/>
  <c r="C77" i="3"/>
  <c r="F76" i="3"/>
  <c r="E76" i="3"/>
  <c r="D76" i="3"/>
  <c r="C76" i="3"/>
  <c r="F75" i="3"/>
  <c r="E75" i="3"/>
  <c r="D75" i="3"/>
  <c r="C75" i="3"/>
  <c r="F74" i="3"/>
  <c r="E74" i="3"/>
  <c r="D74" i="3"/>
  <c r="C74" i="3"/>
  <c r="F73" i="3"/>
  <c r="E73" i="3"/>
  <c r="D73" i="3"/>
  <c r="C73" i="3"/>
  <c r="F72" i="3"/>
  <c r="E72" i="3"/>
  <c r="D72" i="3"/>
  <c r="C72" i="3"/>
  <c r="F71" i="3"/>
  <c r="E71" i="3"/>
  <c r="D71" i="3"/>
  <c r="C71" i="3"/>
  <c r="F70" i="3"/>
  <c r="E70" i="3"/>
  <c r="D70" i="3"/>
  <c r="C70" i="3"/>
  <c r="F69" i="3"/>
  <c r="E69" i="3"/>
  <c r="D69" i="3"/>
  <c r="C69" i="3"/>
  <c r="F68" i="3"/>
  <c r="E68" i="3"/>
  <c r="D68" i="3"/>
  <c r="C68" i="3"/>
  <c r="F67" i="3"/>
  <c r="E67" i="3"/>
  <c r="D67" i="3"/>
  <c r="C67" i="3"/>
  <c r="F62" i="3"/>
  <c r="E62" i="3"/>
  <c r="D62" i="3"/>
  <c r="C62" i="3"/>
  <c r="F61" i="3"/>
  <c r="E61" i="3"/>
  <c r="D61" i="3"/>
  <c r="C61" i="3"/>
  <c r="F60" i="3"/>
  <c r="E60" i="3"/>
  <c r="D60" i="3"/>
  <c r="C60" i="3"/>
  <c r="F59" i="3"/>
  <c r="E59" i="3"/>
  <c r="D59" i="3"/>
  <c r="C59" i="3"/>
  <c r="F58" i="3"/>
  <c r="E58" i="3"/>
  <c r="D58" i="3"/>
  <c r="C58" i="3"/>
  <c r="F57" i="3"/>
  <c r="E57" i="3"/>
  <c r="D57" i="3"/>
  <c r="C57" i="3"/>
  <c r="F56" i="3"/>
  <c r="E56" i="3"/>
  <c r="D56" i="3"/>
  <c r="C56" i="3"/>
  <c r="F55" i="3"/>
  <c r="E55" i="3"/>
  <c r="D55" i="3"/>
  <c r="C55" i="3"/>
  <c r="F54" i="3"/>
  <c r="E54" i="3"/>
  <c r="D54" i="3"/>
  <c r="C54" i="3"/>
  <c r="F53" i="3"/>
  <c r="E53" i="3"/>
  <c r="D53" i="3"/>
  <c r="C53" i="3"/>
  <c r="F52" i="3"/>
  <c r="E52" i="3"/>
  <c r="D52" i="3"/>
  <c r="C52" i="3"/>
  <c r="F51" i="3"/>
  <c r="E51" i="3"/>
  <c r="D51" i="3"/>
  <c r="C51" i="3"/>
  <c r="F50" i="3"/>
  <c r="E50" i="3"/>
  <c r="D50" i="3"/>
  <c r="C50" i="3"/>
  <c r="F49" i="3"/>
  <c r="E49" i="3"/>
  <c r="D49" i="3"/>
  <c r="C49" i="3"/>
  <c r="F48" i="3"/>
  <c r="E48" i="3"/>
  <c r="D48" i="3"/>
  <c r="C4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E20" i="3" s="1"/>
  <c r="D4" i="3"/>
  <c r="C4" i="3"/>
  <c r="B4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20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6" i="3"/>
  <c r="T87" i="3"/>
  <c r="T88" i="3"/>
  <c r="T90" i="3"/>
  <c r="T91" i="3"/>
  <c r="T92" i="3"/>
  <c r="T93" i="3"/>
  <c r="T94" i="3"/>
  <c r="T95" i="3"/>
  <c r="T96" i="3"/>
  <c r="T97" i="3"/>
  <c r="T98" i="3"/>
  <c r="T99" i="3"/>
  <c r="T100" i="3"/>
  <c r="T105" i="3"/>
  <c r="T111" i="3"/>
  <c r="T116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0" i="3" s="1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6" i="3"/>
  <c r="M87" i="3"/>
  <c r="M88" i="3"/>
  <c r="M90" i="3"/>
  <c r="M91" i="3"/>
  <c r="M92" i="3"/>
  <c r="M93" i="3"/>
  <c r="M94" i="3"/>
  <c r="M95" i="3"/>
  <c r="M96" i="3"/>
  <c r="M97" i="3"/>
  <c r="M98" i="3"/>
  <c r="M99" i="3"/>
  <c r="M100" i="3"/>
  <c r="M105" i="3"/>
  <c r="M111" i="3"/>
  <c r="M116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S48" i="3"/>
  <c r="S49" i="3"/>
  <c r="S50" i="3"/>
  <c r="S64" i="3" s="1"/>
  <c r="S51" i="3"/>
  <c r="S52" i="3"/>
  <c r="S53" i="3"/>
  <c r="S54" i="3"/>
  <c r="S55" i="3"/>
  <c r="S56" i="3"/>
  <c r="S57" i="3"/>
  <c r="S58" i="3"/>
  <c r="S59" i="3"/>
  <c r="S60" i="3"/>
  <c r="S61" i="3"/>
  <c r="S62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6" i="3"/>
  <c r="S87" i="3"/>
  <c r="S88" i="3"/>
  <c r="S90" i="3"/>
  <c r="S91" i="3"/>
  <c r="S92" i="3"/>
  <c r="S93" i="3"/>
  <c r="S94" i="3"/>
  <c r="S95" i="3"/>
  <c r="S96" i="3"/>
  <c r="S97" i="3"/>
  <c r="S98" i="3"/>
  <c r="S99" i="3"/>
  <c r="S100" i="3"/>
  <c r="S105" i="3"/>
  <c r="S111" i="3"/>
  <c r="S113" i="3"/>
  <c r="S116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20" i="3"/>
  <c r="K4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6" i="3"/>
  <c r="L87" i="3"/>
  <c r="L88" i="3"/>
  <c r="L90" i="3"/>
  <c r="L91" i="3"/>
  <c r="L92" i="3"/>
  <c r="L93" i="3"/>
  <c r="L94" i="3"/>
  <c r="L95" i="3"/>
  <c r="L96" i="3"/>
  <c r="L97" i="3"/>
  <c r="L98" i="3"/>
  <c r="L99" i="3"/>
  <c r="L100" i="3"/>
  <c r="L105" i="3"/>
  <c r="L111" i="3"/>
  <c r="L116" i="3"/>
  <c r="Q17" i="3"/>
  <c r="Q16" i="3"/>
  <c r="Q15" i="3"/>
  <c r="Q14" i="3"/>
  <c r="Q13" i="3"/>
  <c r="Q12" i="3"/>
  <c r="Q11" i="3"/>
  <c r="Q10" i="3"/>
  <c r="Q9" i="3"/>
  <c r="Q20" i="3" s="1"/>
  <c r="Q8" i="3"/>
  <c r="Q7" i="3"/>
  <c r="Q6" i="3"/>
  <c r="Q5" i="3"/>
  <c r="Q4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6" i="3"/>
  <c r="R87" i="3"/>
  <c r="R88" i="3"/>
  <c r="R90" i="3"/>
  <c r="R91" i="3"/>
  <c r="R92" i="3"/>
  <c r="R93" i="3"/>
  <c r="R94" i="3"/>
  <c r="R95" i="3"/>
  <c r="R96" i="3"/>
  <c r="R97" i="3"/>
  <c r="R98" i="3"/>
  <c r="R99" i="3"/>
  <c r="R100" i="3"/>
  <c r="R105" i="3"/>
  <c r="R107" i="3" s="1"/>
  <c r="R111" i="3"/>
  <c r="R113" i="3" s="1"/>
  <c r="R116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6" i="3"/>
  <c r="K87" i="3"/>
  <c r="K88" i="3"/>
  <c r="K90" i="3"/>
  <c r="K91" i="3"/>
  <c r="K92" i="3"/>
  <c r="K93" i="3"/>
  <c r="K94" i="3"/>
  <c r="K95" i="3"/>
  <c r="K96" i="3"/>
  <c r="K97" i="3"/>
  <c r="K98" i="3"/>
  <c r="K99" i="3"/>
  <c r="K100" i="3"/>
  <c r="K105" i="3"/>
  <c r="K111" i="3"/>
  <c r="K116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6" i="3"/>
  <c r="Q87" i="3"/>
  <c r="Q88" i="3"/>
  <c r="Q90" i="3"/>
  <c r="Q91" i="3"/>
  <c r="Q92" i="3"/>
  <c r="Q93" i="3"/>
  <c r="Q94" i="3"/>
  <c r="Q95" i="3"/>
  <c r="Q96" i="3"/>
  <c r="Q97" i="3"/>
  <c r="Q98" i="3"/>
  <c r="Q99" i="3"/>
  <c r="Q100" i="3"/>
  <c r="Q105" i="3"/>
  <c r="Q111" i="3"/>
  <c r="Q116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6" i="3"/>
  <c r="J87" i="3"/>
  <c r="J88" i="3"/>
  <c r="J90" i="3"/>
  <c r="J91" i="3"/>
  <c r="J92" i="3"/>
  <c r="J93" i="3"/>
  <c r="J94" i="3"/>
  <c r="J95" i="3"/>
  <c r="J96" i="3"/>
  <c r="J97" i="3"/>
  <c r="J98" i="3"/>
  <c r="J99" i="3"/>
  <c r="J100" i="3"/>
  <c r="J105" i="3"/>
  <c r="J111" i="3"/>
  <c r="J116" i="3"/>
  <c r="Q17" i="4"/>
  <c r="P17" i="4"/>
  <c r="O17" i="4"/>
  <c r="N17" i="4"/>
  <c r="K17" i="4"/>
  <c r="J17" i="4"/>
  <c r="I17" i="4"/>
  <c r="H17" i="4"/>
  <c r="E17" i="4"/>
  <c r="D17" i="4"/>
  <c r="C17" i="4"/>
  <c r="B17" i="4"/>
  <c r="D13" i="17"/>
  <c r="D10" i="17"/>
  <c r="D7" i="17"/>
  <c r="D4" i="17"/>
  <c r="D13" i="10"/>
  <c r="D10" i="10"/>
  <c r="D7" i="10"/>
  <c r="D4" i="10"/>
  <c r="F12" i="17"/>
  <c r="J9" i="12"/>
  <c r="F11" i="17"/>
  <c r="F9" i="17"/>
  <c r="P9" i="12"/>
  <c r="O9" i="12"/>
  <c r="Q19" i="5"/>
  <c r="P19" i="5"/>
  <c r="O19" i="5"/>
  <c r="N19" i="5"/>
  <c r="K19" i="5"/>
  <c r="J19" i="5"/>
  <c r="I19" i="5"/>
  <c r="H19" i="5"/>
  <c r="E19" i="5"/>
  <c r="D19" i="5"/>
  <c r="C19" i="5"/>
  <c r="B19" i="5"/>
  <c r="B19" i="4"/>
  <c r="Q19" i="4"/>
  <c r="P19" i="4"/>
  <c r="O19" i="4"/>
  <c r="N19" i="4"/>
  <c r="D19" i="4"/>
  <c r="K19" i="4"/>
  <c r="J19" i="4"/>
  <c r="I19" i="4"/>
  <c r="H19" i="4"/>
  <c r="E19" i="4"/>
  <c r="C19" i="4"/>
  <c r="I12" i="10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I11" i="10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I9" i="10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8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8" i="4"/>
  <c r="H12" i="10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8" i="4"/>
  <c r="H11" i="10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8" i="4"/>
  <c r="H9" i="10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8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8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8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8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8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8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8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8" i="4"/>
  <c r="Q4" i="6"/>
  <c r="Q5" i="6"/>
  <c r="Q6" i="6"/>
  <c r="Q7" i="6"/>
  <c r="Q8" i="6"/>
  <c r="Q11" i="6"/>
  <c r="Q12" i="6"/>
  <c r="Q13" i="6"/>
  <c r="Q15" i="6"/>
  <c r="K4" i="6"/>
  <c r="K5" i="6"/>
  <c r="K6" i="6"/>
  <c r="K7" i="6"/>
  <c r="K8" i="6"/>
  <c r="K11" i="6"/>
  <c r="K12" i="6"/>
  <c r="K13" i="6"/>
  <c r="K15" i="6"/>
  <c r="E4" i="6"/>
  <c r="E5" i="6"/>
  <c r="E6" i="6"/>
  <c r="E7" i="6"/>
  <c r="E8" i="6"/>
  <c r="E11" i="6"/>
  <c r="E12" i="6"/>
  <c r="E13" i="6"/>
  <c r="E15" i="6"/>
  <c r="P4" i="6"/>
  <c r="P5" i="6"/>
  <c r="P6" i="6"/>
  <c r="P7" i="6"/>
  <c r="P8" i="6"/>
  <c r="P11" i="6"/>
  <c r="P12" i="6"/>
  <c r="P13" i="6"/>
  <c r="P15" i="6"/>
  <c r="J4" i="6"/>
  <c r="J5" i="6"/>
  <c r="J6" i="6"/>
  <c r="J7" i="6"/>
  <c r="J8" i="6"/>
  <c r="J11" i="6"/>
  <c r="J12" i="6"/>
  <c r="J13" i="6"/>
  <c r="J15" i="6"/>
  <c r="D4" i="6"/>
  <c r="D5" i="6"/>
  <c r="D6" i="6"/>
  <c r="D7" i="6"/>
  <c r="D8" i="6"/>
  <c r="D11" i="6"/>
  <c r="D12" i="6"/>
  <c r="D13" i="6"/>
  <c r="D15" i="6"/>
  <c r="O4" i="6"/>
  <c r="O5" i="6"/>
  <c r="O6" i="6"/>
  <c r="O7" i="6"/>
  <c r="O8" i="6"/>
  <c r="O11" i="6"/>
  <c r="O12" i="6"/>
  <c r="O13" i="6"/>
  <c r="O15" i="6"/>
  <c r="I4" i="6"/>
  <c r="I5" i="6"/>
  <c r="I6" i="6"/>
  <c r="I7" i="6"/>
  <c r="I8" i="6"/>
  <c r="I11" i="6"/>
  <c r="I12" i="6"/>
  <c r="I13" i="6"/>
  <c r="I15" i="6"/>
  <c r="C4" i="6"/>
  <c r="C5" i="6"/>
  <c r="C6" i="6"/>
  <c r="C7" i="6"/>
  <c r="C8" i="6"/>
  <c r="C11" i="6"/>
  <c r="C12" i="6"/>
  <c r="C13" i="6"/>
  <c r="C15" i="6"/>
  <c r="N4" i="6"/>
  <c r="N5" i="6"/>
  <c r="N6" i="6"/>
  <c r="N7" i="6"/>
  <c r="N8" i="6"/>
  <c r="N11" i="6"/>
  <c r="N12" i="6"/>
  <c r="N13" i="6"/>
  <c r="N15" i="6"/>
  <c r="H4" i="6"/>
  <c r="H5" i="6"/>
  <c r="H6" i="6"/>
  <c r="H7" i="6"/>
  <c r="H8" i="6"/>
  <c r="H11" i="6"/>
  <c r="H12" i="6"/>
  <c r="H13" i="6"/>
  <c r="H15" i="6"/>
  <c r="B4" i="6"/>
  <c r="B5" i="6"/>
  <c r="B6" i="6"/>
  <c r="B7" i="6"/>
  <c r="B8" i="6"/>
  <c r="B11" i="6"/>
  <c r="B12" i="6"/>
  <c r="B13" i="6"/>
  <c r="B15" i="6"/>
  <c r="Q9" i="5"/>
  <c r="P9" i="5"/>
  <c r="O9" i="5"/>
  <c r="N9" i="5"/>
  <c r="V5" i="14"/>
  <c r="V6" i="14"/>
  <c r="V7" i="14"/>
  <c r="V8" i="14"/>
  <c r="V9" i="14"/>
  <c r="V10" i="14"/>
  <c r="V11" i="14"/>
  <c r="V12" i="14"/>
  <c r="V13" i="14"/>
  <c r="U5" i="14"/>
  <c r="U6" i="14"/>
  <c r="U7" i="14"/>
  <c r="U8" i="14"/>
  <c r="U9" i="14"/>
  <c r="U10" i="14"/>
  <c r="U11" i="14"/>
  <c r="U12" i="14"/>
  <c r="U13" i="14"/>
  <c r="T5" i="14"/>
  <c r="T6" i="14"/>
  <c r="T7" i="14"/>
  <c r="T8" i="14"/>
  <c r="T9" i="14"/>
  <c r="T10" i="14"/>
  <c r="T11" i="14"/>
  <c r="T12" i="14"/>
  <c r="T13" i="14"/>
  <c r="N5" i="14"/>
  <c r="N6" i="14"/>
  <c r="N7" i="14"/>
  <c r="N8" i="14"/>
  <c r="N9" i="14"/>
  <c r="N10" i="14"/>
  <c r="N11" i="14"/>
  <c r="N12" i="14"/>
  <c r="N13" i="14"/>
  <c r="P5" i="14"/>
  <c r="P6" i="14"/>
  <c r="P7" i="14"/>
  <c r="P8" i="14"/>
  <c r="P9" i="14"/>
  <c r="P10" i="14"/>
  <c r="P11" i="14"/>
  <c r="P12" i="14"/>
  <c r="P13" i="14"/>
  <c r="O5" i="14"/>
  <c r="O6" i="14"/>
  <c r="O7" i="14"/>
  <c r="O8" i="14"/>
  <c r="O9" i="14"/>
  <c r="O10" i="14"/>
  <c r="O11" i="14"/>
  <c r="O12" i="14"/>
  <c r="O13" i="14"/>
  <c r="J5" i="14"/>
  <c r="J6" i="14"/>
  <c r="J7" i="14"/>
  <c r="J8" i="14"/>
  <c r="J9" i="14"/>
  <c r="J10" i="14"/>
  <c r="J11" i="14"/>
  <c r="J12" i="14"/>
  <c r="J13" i="14"/>
  <c r="I5" i="14"/>
  <c r="I6" i="14"/>
  <c r="I7" i="14"/>
  <c r="I8" i="14"/>
  <c r="I9" i="14"/>
  <c r="I10" i="14"/>
  <c r="I11" i="14"/>
  <c r="I12" i="14"/>
  <c r="I13" i="14"/>
  <c r="H5" i="14"/>
  <c r="H6" i="14"/>
  <c r="H7" i="14"/>
  <c r="H8" i="14"/>
  <c r="H9" i="14"/>
  <c r="H10" i="14"/>
  <c r="H11" i="14"/>
  <c r="H12" i="14"/>
  <c r="H13" i="14"/>
  <c r="D5" i="14"/>
  <c r="D6" i="14"/>
  <c r="D7" i="14"/>
  <c r="D8" i="14"/>
  <c r="D9" i="14"/>
  <c r="D10" i="14"/>
  <c r="D11" i="14"/>
  <c r="D12" i="14"/>
  <c r="D13" i="14"/>
  <c r="C5" i="14"/>
  <c r="C6" i="14"/>
  <c r="C7" i="14"/>
  <c r="C8" i="14"/>
  <c r="C9" i="14"/>
  <c r="C10" i="14"/>
  <c r="C11" i="14"/>
  <c r="C12" i="14"/>
  <c r="C13" i="14"/>
  <c r="B5" i="14"/>
  <c r="B6" i="14"/>
  <c r="B7" i="14"/>
  <c r="B8" i="14"/>
  <c r="B9" i="14"/>
  <c r="B10" i="14"/>
  <c r="B11" i="14"/>
  <c r="B12" i="14"/>
  <c r="B13" i="14"/>
  <c r="V5" i="15"/>
  <c r="V6" i="15"/>
  <c r="V7" i="15"/>
  <c r="V8" i="15"/>
  <c r="V9" i="15"/>
  <c r="V10" i="15"/>
  <c r="V11" i="15"/>
  <c r="V12" i="15"/>
  <c r="V13" i="15"/>
  <c r="U5" i="15"/>
  <c r="U6" i="15"/>
  <c r="U7" i="15"/>
  <c r="U8" i="15"/>
  <c r="U9" i="15"/>
  <c r="U10" i="15"/>
  <c r="U11" i="15"/>
  <c r="U12" i="15"/>
  <c r="U13" i="15"/>
  <c r="T5" i="15"/>
  <c r="T6" i="15"/>
  <c r="T7" i="15"/>
  <c r="T8" i="15"/>
  <c r="T9" i="15"/>
  <c r="T10" i="15"/>
  <c r="T11" i="15"/>
  <c r="T12" i="15"/>
  <c r="T13" i="15"/>
  <c r="P5" i="15"/>
  <c r="P6" i="15"/>
  <c r="P7" i="15"/>
  <c r="P8" i="15"/>
  <c r="P9" i="15"/>
  <c r="P10" i="15"/>
  <c r="P11" i="15"/>
  <c r="P12" i="15"/>
  <c r="P13" i="15"/>
  <c r="O5" i="15"/>
  <c r="O6" i="15"/>
  <c r="O7" i="15"/>
  <c r="O8" i="15"/>
  <c r="O9" i="15"/>
  <c r="O10" i="15"/>
  <c r="O11" i="15"/>
  <c r="O12" i="15"/>
  <c r="O14" i="15" s="1"/>
  <c r="O17" i="15" s="1"/>
  <c r="O20" i="15" s="1"/>
  <c r="I11" i="17" s="1"/>
  <c r="O13" i="15"/>
  <c r="N5" i="15"/>
  <c r="N6" i="15"/>
  <c r="N7" i="15"/>
  <c r="N8" i="15"/>
  <c r="N9" i="15"/>
  <c r="N10" i="15"/>
  <c r="N11" i="15"/>
  <c r="N12" i="15"/>
  <c r="N13" i="15"/>
  <c r="J5" i="15"/>
  <c r="J6" i="15"/>
  <c r="J7" i="15"/>
  <c r="J8" i="15"/>
  <c r="J9" i="15"/>
  <c r="J10" i="15"/>
  <c r="J11" i="15"/>
  <c r="J12" i="15"/>
  <c r="J13" i="15"/>
  <c r="I5" i="15"/>
  <c r="I6" i="15"/>
  <c r="I7" i="15"/>
  <c r="I8" i="15"/>
  <c r="I9" i="15"/>
  <c r="I10" i="15"/>
  <c r="I11" i="15"/>
  <c r="I12" i="15"/>
  <c r="I13" i="15"/>
  <c r="H5" i="15"/>
  <c r="H6" i="15"/>
  <c r="H7" i="15"/>
  <c r="H8" i="15"/>
  <c r="H9" i="15"/>
  <c r="H10" i="15"/>
  <c r="H11" i="15"/>
  <c r="H12" i="15"/>
  <c r="H13" i="15"/>
  <c r="D5" i="15"/>
  <c r="D6" i="15"/>
  <c r="D7" i="15"/>
  <c r="D8" i="15"/>
  <c r="D9" i="15"/>
  <c r="D10" i="15"/>
  <c r="D11" i="15"/>
  <c r="D12" i="15"/>
  <c r="D13" i="15"/>
  <c r="C5" i="15"/>
  <c r="C6" i="15"/>
  <c r="C7" i="15"/>
  <c r="C8" i="15"/>
  <c r="C9" i="15"/>
  <c r="C10" i="15"/>
  <c r="C11" i="15"/>
  <c r="C12" i="15"/>
  <c r="C13" i="15"/>
  <c r="B5" i="15"/>
  <c r="B6" i="15"/>
  <c r="B7" i="15"/>
  <c r="B8" i="15"/>
  <c r="B9" i="15"/>
  <c r="B10" i="15"/>
  <c r="B11" i="15"/>
  <c r="B12" i="15"/>
  <c r="B13" i="15"/>
  <c r="B23" i="1"/>
  <c r="B13" i="10" s="1"/>
  <c r="A26" i="10" s="1"/>
  <c r="B22" i="1"/>
  <c r="B10" i="17" s="1"/>
  <c r="A23" i="17" s="1"/>
  <c r="B21" i="1"/>
  <c r="B7" i="10" s="1"/>
  <c r="A20" i="10" s="1"/>
  <c r="B20" i="1"/>
  <c r="B4" i="17" s="1"/>
  <c r="A17" i="17" s="1"/>
  <c r="B4" i="8"/>
  <c r="C4" i="8"/>
  <c r="D4" i="8"/>
  <c r="E4" i="8"/>
  <c r="H4" i="8"/>
  <c r="I4" i="8"/>
  <c r="J4" i="8"/>
  <c r="K4" i="8"/>
  <c r="N4" i="8"/>
  <c r="O4" i="8"/>
  <c r="P4" i="8"/>
  <c r="Q4" i="8"/>
  <c r="B5" i="8"/>
  <c r="C5" i="8"/>
  <c r="D5" i="8"/>
  <c r="E5" i="8"/>
  <c r="H5" i="8"/>
  <c r="I5" i="8"/>
  <c r="J5" i="8"/>
  <c r="K5" i="8"/>
  <c r="N5" i="8"/>
  <c r="O5" i="8"/>
  <c r="P5" i="8"/>
  <c r="Q5" i="8"/>
  <c r="B6" i="8"/>
  <c r="C6" i="8"/>
  <c r="D6" i="8"/>
  <c r="E6" i="8"/>
  <c r="H6" i="8"/>
  <c r="I6" i="8"/>
  <c r="J6" i="8"/>
  <c r="K6" i="8"/>
  <c r="N6" i="8"/>
  <c r="O6" i="8"/>
  <c r="P6" i="8"/>
  <c r="Q6" i="8"/>
  <c r="B7" i="8"/>
  <c r="C7" i="8"/>
  <c r="D7" i="8"/>
  <c r="E7" i="8"/>
  <c r="H7" i="8"/>
  <c r="I7" i="8"/>
  <c r="J7" i="8"/>
  <c r="K7" i="8"/>
  <c r="N7" i="8"/>
  <c r="O7" i="8"/>
  <c r="P7" i="8"/>
  <c r="Q7" i="8"/>
  <c r="I7" i="9"/>
  <c r="P7" i="9"/>
  <c r="D7" i="9"/>
  <c r="L10" i="10" s="1"/>
  <c r="J7" i="9"/>
  <c r="C7" i="9"/>
  <c r="L7" i="10" s="1"/>
  <c r="E7" i="9"/>
  <c r="L13" i="17" s="1"/>
  <c r="O7" i="9"/>
  <c r="L9" i="17" s="1"/>
  <c r="Q7" i="9"/>
  <c r="B4" i="7"/>
  <c r="B5" i="7" s="1"/>
  <c r="C4" i="7"/>
  <c r="C5" i="7" s="1"/>
  <c r="J7" i="10" s="1"/>
  <c r="D4" i="7"/>
  <c r="D5" i="7" s="1"/>
  <c r="J10" i="17" s="1"/>
  <c r="E4" i="7"/>
  <c r="E5" i="7" s="1"/>
  <c r="J13" i="17" s="1"/>
  <c r="H4" i="7"/>
  <c r="H5" i="7" s="1"/>
  <c r="J4" i="7"/>
  <c r="J5" i="7" s="1"/>
  <c r="K4" i="7"/>
  <c r="K5" i="7" s="1"/>
  <c r="N4" i="7"/>
  <c r="N5" i="7" s="1"/>
  <c r="O4" i="7"/>
  <c r="O5" i="7" s="1"/>
  <c r="P4" i="7"/>
  <c r="P5" i="7" s="1"/>
  <c r="Q4" i="7"/>
  <c r="Q5" i="7" s="1"/>
  <c r="N4" i="5"/>
  <c r="O4" i="5"/>
  <c r="P4" i="5"/>
  <c r="Q4" i="5"/>
  <c r="N5" i="5"/>
  <c r="O5" i="5"/>
  <c r="P5" i="5"/>
  <c r="Q5" i="5"/>
  <c r="N6" i="5"/>
  <c r="O6" i="5"/>
  <c r="P6" i="5"/>
  <c r="Q6" i="5"/>
  <c r="N7" i="5"/>
  <c r="O7" i="5"/>
  <c r="P7" i="5"/>
  <c r="Q7" i="5"/>
  <c r="N8" i="5"/>
  <c r="O8" i="5"/>
  <c r="P8" i="5"/>
  <c r="Q8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A4" i="17"/>
  <c r="C4" i="17"/>
  <c r="E4" i="17"/>
  <c r="D5" i="17"/>
  <c r="E5" i="17"/>
  <c r="D6" i="17"/>
  <c r="E6" i="17"/>
  <c r="A7" i="17"/>
  <c r="C7" i="17"/>
  <c r="E7" i="17"/>
  <c r="D8" i="17"/>
  <c r="E8" i="17"/>
  <c r="D9" i="17"/>
  <c r="E9" i="17"/>
  <c r="A10" i="17"/>
  <c r="C10" i="17"/>
  <c r="E10" i="17"/>
  <c r="D11" i="17"/>
  <c r="E11" i="17"/>
  <c r="D12" i="17"/>
  <c r="E12" i="17"/>
  <c r="A13" i="17"/>
  <c r="C13" i="17"/>
  <c r="E13" i="17"/>
  <c r="D14" i="17"/>
  <c r="E14" i="17"/>
  <c r="D15" i="17"/>
  <c r="E15" i="17"/>
  <c r="A4" i="10"/>
  <c r="C4" i="10"/>
  <c r="E4" i="10"/>
  <c r="D5" i="10"/>
  <c r="E5" i="10"/>
  <c r="D6" i="10"/>
  <c r="E6" i="10"/>
  <c r="A7" i="10"/>
  <c r="C7" i="10"/>
  <c r="E7" i="10"/>
  <c r="D8" i="10"/>
  <c r="E8" i="10"/>
  <c r="D9" i="10"/>
  <c r="E9" i="10"/>
  <c r="A10" i="10"/>
  <c r="C10" i="10"/>
  <c r="E10" i="10"/>
  <c r="D11" i="10"/>
  <c r="E11" i="10"/>
  <c r="D12" i="10"/>
  <c r="E12" i="10"/>
  <c r="A13" i="10"/>
  <c r="C13" i="10"/>
  <c r="E13" i="10"/>
  <c r="D14" i="10"/>
  <c r="E14" i="10"/>
  <c r="D15" i="10"/>
  <c r="E15" i="10"/>
  <c r="J2" i="1"/>
  <c r="L4" i="17"/>
  <c r="R20" i="3"/>
  <c r="J20" i="3" l="1"/>
  <c r="B7" i="17"/>
  <c r="A20" i="17" s="1"/>
  <c r="I14" i="15"/>
  <c r="I17" i="15" s="1"/>
  <c r="I20" i="15" s="1"/>
  <c r="I8" i="17" s="1"/>
  <c r="K113" i="3"/>
  <c r="L64" i="3"/>
  <c r="L83" i="3"/>
  <c r="S102" i="3"/>
  <c r="L113" i="3"/>
  <c r="R83" i="3"/>
  <c r="P14" i="14"/>
  <c r="P17" i="14" s="1"/>
  <c r="P20" i="14" s="1"/>
  <c r="H12" i="17" s="1"/>
  <c r="J14" i="15"/>
  <c r="J17" i="15" s="1"/>
  <c r="J20" i="15" s="1"/>
  <c r="I9" i="17" s="1"/>
  <c r="P14" i="15"/>
  <c r="P17" i="15" s="1"/>
  <c r="P20" i="15" s="1"/>
  <c r="I12" i="17" s="1"/>
  <c r="K102" i="3"/>
  <c r="I14" i="14"/>
  <c r="I17" i="14" s="1"/>
  <c r="I20" i="14" s="1"/>
  <c r="H8" i="17" s="1"/>
  <c r="J14" i="14"/>
  <c r="J17" i="14" s="1"/>
  <c r="J20" i="14" s="1"/>
  <c r="H9" i="17" s="1"/>
  <c r="O14" i="14"/>
  <c r="O17" i="14" s="1"/>
  <c r="O20" i="14" s="1"/>
  <c r="H11" i="17" s="1"/>
  <c r="C64" i="3"/>
  <c r="D14" i="14"/>
  <c r="D17" i="14" s="1"/>
  <c r="D20" i="14" s="1"/>
  <c r="H6" i="17" s="1"/>
  <c r="P20" i="3"/>
  <c r="D14" i="15"/>
  <c r="D17" i="15" s="1"/>
  <c r="D20" i="15" s="1"/>
  <c r="I6" i="17" s="1"/>
  <c r="I20" i="3"/>
  <c r="J5" i="10"/>
  <c r="J5" i="17"/>
  <c r="J113" i="3"/>
  <c r="C14" i="14"/>
  <c r="C17" i="14" s="1"/>
  <c r="C20" i="14" s="1"/>
  <c r="H5" i="17" s="1"/>
  <c r="C14" i="15"/>
  <c r="C17" i="15" s="1"/>
  <c r="C20" i="15" s="1"/>
  <c r="I5" i="17" s="1"/>
  <c r="H18" i="12"/>
  <c r="P21" i="12"/>
  <c r="J20" i="12"/>
  <c r="P25" i="12"/>
  <c r="J24" i="12"/>
  <c r="E31" i="12"/>
  <c r="N19" i="12"/>
  <c r="C20" i="12"/>
  <c r="J28" i="12"/>
  <c r="C24" i="12"/>
  <c r="P31" i="12"/>
  <c r="N23" i="12"/>
  <c r="P28" i="12"/>
  <c r="J4" i="12"/>
  <c r="Q18" i="12"/>
  <c r="C28" i="12"/>
  <c r="J32" i="12"/>
  <c r="B27" i="3"/>
  <c r="Q22" i="12"/>
  <c r="Q26" i="12"/>
  <c r="I19" i="12"/>
  <c r="E22" i="12"/>
  <c r="O32" i="12"/>
  <c r="N30" i="12"/>
  <c r="Q29" i="12"/>
  <c r="I23" i="12"/>
  <c r="E30" i="12"/>
  <c r="O20" i="12"/>
  <c r="B22" i="12"/>
  <c r="I27" i="12"/>
  <c r="O24" i="12"/>
  <c r="B26" i="12"/>
  <c r="B30" i="12"/>
  <c r="O27" i="12"/>
  <c r="D17" i="12"/>
  <c r="D21" i="12"/>
  <c r="H26" i="12"/>
  <c r="D29" i="12"/>
  <c r="H22" i="12"/>
  <c r="D25" i="12"/>
  <c r="P17" i="12"/>
  <c r="H30" i="12"/>
  <c r="J8" i="8"/>
  <c r="M11" i="10" s="1"/>
  <c r="P8" i="8"/>
  <c r="M12" i="17" s="1"/>
  <c r="O8" i="8"/>
  <c r="L102" i="3"/>
  <c r="E83" i="3"/>
  <c r="R64" i="3"/>
  <c r="O20" i="4"/>
  <c r="S107" i="3"/>
  <c r="P20" i="5"/>
  <c r="N20" i="5"/>
  <c r="I6" i="10" s="1"/>
  <c r="H8" i="8"/>
  <c r="M5" i="17" s="1"/>
  <c r="H20" i="4"/>
  <c r="H5" i="10" s="1"/>
  <c r="O20" i="5"/>
  <c r="K107" i="3"/>
  <c r="I8" i="8"/>
  <c r="M8" i="10" s="1"/>
  <c r="J83" i="3"/>
  <c r="N8" i="8"/>
  <c r="M6" i="17" s="1"/>
  <c r="S83" i="3"/>
  <c r="M9" i="17"/>
  <c r="M9" i="10"/>
  <c r="J64" i="3"/>
  <c r="Q83" i="3"/>
  <c r="K64" i="3"/>
  <c r="J20" i="4"/>
  <c r="E8" i="8"/>
  <c r="M13" i="17" s="1"/>
  <c r="Q64" i="3"/>
  <c r="J107" i="3"/>
  <c r="Q113" i="3"/>
  <c r="I20" i="4"/>
  <c r="H8" i="10" s="1"/>
  <c r="L9" i="10"/>
  <c r="E64" i="3"/>
  <c r="L107" i="3"/>
  <c r="T113" i="3"/>
  <c r="P20" i="4"/>
  <c r="I20" i="5"/>
  <c r="I8" i="10" s="1"/>
  <c r="J20" i="5"/>
  <c r="T64" i="3"/>
  <c r="J102" i="3"/>
  <c r="Q107" i="3"/>
  <c r="Q102" i="3"/>
  <c r="K83" i="3"/>
  <c r="R102" i="3"/>
  <c r="E102" i="3"/>
  <c r="D8" i="8"/>
  <c r="M10" i="17" s="1"/>
  <c r="E113" i="3"/>
  <c r="E20" i="4"/>
  <c r="H13" i="10" s="1"/>
  <c r="F113" i="3"/>
  <c r="K7" i="9"/>
  <c r="L14" i="10" s="1"/>
  <c r="L11" i="10"/>
  <c r="L11" i="17"/>
  <c r="L12" i="17"/>
  <c r="L12" i="10"/>
  <c r="J12" i="17"/>
  <c r="J12" i="10"/>
  <c r="J11" i="17"/>
  <c r="J11" i="10"/>
  <c r="J17" i="6"/>
  <c r="K11" i="10" s="1"/>
  <c r="P17" i="6"/>
  <c r="K12" i="10" s="1"/>
  <c r="L8" i="17"/>
  <c r="L8" i="10"/>
  <c r="J8" i="10"/>
  <c r="J8" i="17"/>
  <c r="J9" i="17"/>
  <c r="J9" i="10"/>
  <c r="D83" i="3"/>
  <c r="I17" i="6"/>
  <c r="K8" i="17" s="1"/>
  <c r="O17" i="6"/>
  <c r="K9" i="17" s="1"/>
  <c r="T83" i="3"/>
  <c r="F64" i="3"/>
  <c r="F83" i="3"/>
  <c r="F102" i="3"/>
  <c r="F107" i="3"/>
  <c r="V14" i="15"/>
  <c r="V17" i="15" s="1"/>
  <c r="V20" i="15" s="1"/>
  <c r="I15" i="17" s="1"/>
  <c r="V14" i="14"/>
  <c r="V17" i="14" s="1"/>
  <c r="V20" i="14" s="1"/>
  <c r="H15" i="17" s="1"/>
  <c r="Q17" i="6"/>
  <c r="K15" i="17" s="1"/>
  <c r="T102" i="3"/>
  <c r="Q20" i="5"/>
  <c r="I15" i="10" s="1"/>
  <c r="Q20" i="4"/>
  <c r="H15" i="10" s="1"/>
  <c r="Q8" i="8"/>
  <c r="T107" i="3"/>
  <c r="J15" i="10"/>
  <c r="J15" i="17"/>
  <c r="M64" i="3"/>
  <c r="K20" i="4"/>
  <c r="H14" i="10" s="1"/>
  <c r="M113" i="3"/>
  <c r="J14" i="17"/>
  <c r="J14" i="10"/>
  <c r="K17" i="6"/>
  <c r="K14" i="10" s="1"/>
  <c r="M83" i="3"/>
  <c r="K8" i="8"/>
  <c r="M15" i="17" s="1"/>
  <c r="U14" i="15"/>
  <c r="U17" i="15" s="1"/>
  <c r="U20" i="15" s="1"/>
  <c r="I14" i="17" s="1"/>
  <c r="U14" i="14"/>
  <c r="U17" i="14" s="1"/>
  <c r="U20" i="14" s="1"/>
  <c r="H14" i="17" s="1"/>
  <c r="K20" i="5"/>
  <c r="I14" i="10" s="1"/>
  <c r="M107" i="3"/>
  <c r="M102" i="3"/>
  <c r="L15" i="17"/>
  <c r="L15" i="10"/>
  <c r="T14" i="14"/>
  <c r="T17" i="14" s="1"/>
  <c r="T20" i="14" s="1"/>
  <c r="H13" i="17" s="1"/>
  <c r="E17" i="6"/>
  <c r="K13" i="17" s="1"/>
  <c r="E20" i="5"/>
  <c r="I13" i="10" s="1"/>
  <c r="T14" i="15"/>
  <c r="T17" i="15" s="1"/>
  <c r="T20" i="15" s="1"/>
  <c r="I13" i="17" s="1"/>
  <c r="M13" i="10"/>
  <c r="J13" i="10"/>
  <c r="K15" i="10"/>
  <c r="B13" i="17"/>
  <c r="A26" i="17" s="1"/>
  <c r="N14" i="14"/>
  <c r="N17" i="14" s="1"/>
  <c r="N20" i="14" s="1"/>
  <c r="H10" i="17" s="1"/>
  <c r="D20" i="5"/>
  <c r="I10" i="10" s="1"/>
  <c r="E107" i="3"/>
  <c r="J10" i="10"/>
  <c r="N14" i="15"/>
  <c r="N17" i="15" s="1"/>
  <c r="N20" i="15" s="1"/>
  <c r="I10" i="17" s="1"/>
  <c r="D17" i="6"/>
  <c r="K10" i="17" s="1"/>
  <c r="D20" i="4"/>
  <c r="H10" i="10" s="1"/>
  <c r="L10" i="17"/>
  <c r="D20" i="3"/>
  <c r="M10" i="10"/>
  <c r="B10" i="10"/>
  <c r="A23" i="10" s="1"/>
  <c r="D107" i="3"/>
  <c r="D113" i="3"/>
  <c r="H14" i="15"/>
  <c r="H17" i="15" s="1"/>
  <c r="H20" i="15" s="1"/>
  <c r="I7" i="17" s="1"/>
  <c r="C20" i="4"/>
  <c r="H7" i="10" s="1"/>
  <c r="J7" i="17"/>
  <c r="C20" i="3"/>
  <c r="D64" i="3"/>
  <c r="D102" i="3"/>
  <c r="C8" i="8"/>
  <c r="M7" i="17" s="1"/>
  <c r="H14" i="14"/>
  <c r="H17" i="14" s="1"/>
  <c r="H20" i="14" s="1"/>
  <c r="H7" i="17" s="1"/>
  <c r="C20" i="5"/>
  <c r="I7" i="10" s="1"/>
  <c r="C17" i="6"/>
  <c r="K7" i="10" s="1"/>
  <c r="H7" i="9"/>
  <c r="L5" i="17" s="1"/>
  <c r="J6" i="17"/>
  <c r="J6" i="10"/>
  <c r="H20" i="5"/>
  <c r="I5" i="10" s="1"/>
  <c r="N20" i="4"/>
  <c r="H6" i="10" s="1"/>
  <c r="B8" i="12"/>
  <c r="B9" i="12" s="1"/>
  <c r="B17" i="12" s="1"/>
  <c r="B8" i="8"/>
  <c r="M4" i="10" s="1"/>
  <c r="C113" i="3"/>
  <c r="H17" i="6"/>
  <c r="K5" i="17" s="1"/>
  <c r="E26" i="12"/>
  <c r="K21" i="12"/>
  <c r="N17" i="6"/>
  <c r="K6" i="10" s="1"/>
  <c r="N7" i="9"/>
  <c r="L6" i="17" s="1"/>
  <c r="K17" i="12"/>
  <c r="K29" i="12"/>
  <c r="B20" i="3"/>
  <c r="B14" i="15"/>
  <c r="B17" i="15" s="1"/>
  <c r="B20" i="15" s="1"/>
  <c r="I4" i="17" s="1"/>
  <c r="B14" i="14"/>
  <c r="B17" i="14" s="1"/>
  <c r="B20" i="14" s="1"/>
  <c r="H4" i="17" s="1"/>
  <c r="B17" i="6"/>
  <c r="K4" i="17" s="1"/>
  <c r="B20" i="5"/>
  <c r="I4" i="10" s="1"/>
  <c r="B20" i="4"/>
  <c r="H4" i="10" s="1"/>
  <c r="J4" i="17"/>
  <c r="J4" i="10"/>
  <c r="C102" i="3"/>
  <c r="C107" i="3"/>
  <c r="C83" i="3"/>
  <c r="I26" i="3"/>
  <c r="J26" i="3"/>
  <c r="P24" i="3"/>
  <c r="S24" i="3"/>
  <c r="E25" i="3"/>
  <c r="E30" i="3"/>
  <c r="K29" i="3"/>
  <c r="S29" i="3"/>
  <c r="C30" i="3"/>
  <c r="Q28" i="3"/>
  <c r="I31" i="12"/>
  <c r="B28" i="3"/>
  <c r="I28" i="3"/>
  <c r="P26" i="3"/>
  <c r="J30" i="3"/>
  <c r="E24" i="3"/>
  <c r="D29" i="3"/>
  <c r="K27" i="3"/>
  <c r="R28" i="3"/>
  <c r="C26" i="3"/>
  <c r="Q24" i="3"/>
  <c r="I4" i="12"/>
  <c r="I8" i="12" s="1"/>
  <c r="I9" i="12" s="1"/>
  <c r="K31" i="12"/>
  <c r="E4" i="12"/>
  <c r="E8" i="12" s="1"/>
  <c r="E9" i="12" s="1"/>
  <c r="E18" i="12" s="1"/>
  <c r="P4" i="12"/>
  <c r="N22" i="12"/>
  <c r="N26" i="12"/>
  <c r="N29" i="12"/>
  <c r="O19" i="12"/>
  <c r="O23" i="12"/>
  <c r="O30" i="12"/>
  <c r="P20" i="12"/>
  <c r="P24" i="12"/>
  <c r="P27" i="12"/>
  <c r="P32" i="12"/>
  <c r="Q17" i="12"/>
  <c r="Q21" i="12"/>
  <c r="Q25" i="12"/>
  <c r="Q28" i="12"/>
  <c r="B21" i="12"/>
  <c r="B25" i="12"/>
  <c r="B29" i="12"/>
  <c r="H17" i="12"/>
  <c r="H21" i="12"/>
  <c r="H25" i="12"/>
  <c r="H29" i="12"/>
  <c r="C19" i="12"/>
  <c r="C23" i="12"/>
  <c r="C27" i="12"/>
  <c r="C32" i="12"/>
  <c r="I18" i="12"/>
  <c r="I22" i="12"/>
  <c r="I26" i="12"/>
  <c r="I30" i="12"/>
  <c r="D20" i="12"/>
  <c r="D24" i="12"/>
  <c r="D28" i="12"/>
  <c r="J19" i="12"/>
  <c r="J23" i="12"/>
  <c r="J27" i="12"/>
  <c r="E21" i="12"/>
  <c r="E25" i="12"/>
  <c r="E29" i="12"/>
  <c r="K20" i="12"/>
  <c r="K24" i="12"/>
  <c r="K28" i="12"/>
  <c r="I24" i="3"/>
  <c r="D24" i="3"/>
  <c r="D25" i="3"/>
  <c r="E26" i="3"/>
  <c r="E27" i="3"/>
  <c r="B29" i="3"/>
  <c r="D30" i="3"/>
  <c r="L25" i="3"/>
  <c r="I27" i="3"/>
  <c r="L28" i="3"/>
  <c r="L30" i="3"/>
  <c r="S25" i="3"/>
  <c r="P27" i="3"/>
  <c r="P28" i="3"/>
  <c r="R29" i="3"/>
  <c r="S30" i="3"/>
  <c r="C25" i="3"/>
  <c r="C29" i="3"/>
  <c r="J25" i="3"/>
  <c r="J29" i="3"/>
  <c r="Q27" i="3"/>
  <c r="R24" i="3"/>
  <c r="H4" i="12"/>
  <c r="H8" i="12" s="1"/>
  <c r="H9" i="12" s="1"/>
  <c r="H31" i="12" s="1"/>
  <c r="C31" i="12"/>
  <c r="Q31" i="12"/>
  <c r="Q4" i="12"/>
  <c r="Q8" i="12" s="1"/>
  <c r="Q9" i="12" s="1"/>
  <c r="Q23" i="12" s="1"/>
  <c r="J31" i="12"/>
  <c r="D4" i="12"/>
  <c r="D9" i="12" s="1"/>
  <c r="D22" i="12" s="1"/>
  <c r="N20" i="12"/>
  <c r="N24" i="12"/>
  <c r="N27" i="12"/>
  <c r="N32" i="12"/>
  <c r="O17" i="12"/>
  <c r="O21" i="12"/>
  <c r="O25" i="12"/>
  <c r="O28" i="12"/>
  <c r="P18" i="12"/>
  <c r="P22" i="12"/>
  <c r="P26" i="12"/>
  <c r="P29" i="12"/>
  <c r="Q19" i="12"/>
  <c r="Q30" i="12"/>
  <c r="B23" i="12"/>
  <c r="B27" i="12"/>
  <c r="B32" i="12"/>
  <c r="H19" i="12"/>
  <c r="H23" i="12"/>
  <c r="H27" i="12"/>
  <c r="C17" i="12"/>
  <c r="C21" i="12"/>
  <c r="C25" i="12"/>
  <c r="C29" i="12"/>
  <c r="I20" i="12"/>
  <c r="I24" i="12"/>
  <c r="I28" i="12"/>
  <c r="I32" i="12"/>
  <c r="D18" i="12"/>
  <c r="D26" i="12"/>
  <c r="D30" i="12"/>
  <c r="J17" i="12"/>
  <c r="J21" i="12"/>
  <c r="J25" i="12"/>
  <c r="J29" i="12"/>
  <c r="E19" i="12"/>
  <c r="E23" i="12"/>
  <c r="E27" i="12"/>
  <c r="E32" i="12"/>
  <c r="K18" i="12"/>
  <c r="K22" i="12"/>
  <c r="K26" i="12"/>
  <c r="K30" i="12"/>
  <c r="B25" i="3"/>
  <c r="B26" i="3"/>
  <c r="D27" i="3"/>
  <c r="D28" i="3"/>
  <c r="E29" i="3"/>
  <c r="I25" i="3"/>
  <c r="K26" i="3"/>
  <c r="I29" i="3"/>
  <c r="L27" i="3"/>
  <c r="L29" i="3"/>
  <c r="P25" i="3"/>
  <c r="R26" i="3"/>
  <c r="R27" i="3"/>
  <c r="S28" i="3"/>
  <c r="P30" i="3"/>
  <c r="C27" i="3"/>
  <c r="B24" i="3"/>
  <c r="J27" i="3"/>
  <c r="K24" i="3"/>
  <c r="Q25" i="3"/>
  <c r="Q29" i="3"/>
  <c r="O4" i="12"/>
  <c r="N31" i="12"/>
  <c r="N4" i="12"/>
  <c r="N8" i="12" s="1"/>
  <c r="N9" i="12" s="1"/>
  <c r="N18" i="12" s="1"/>
  <c r="K4" i="12"/>
  <c r="K8" i="12" s="1"/>
  <c r="K9" i="12" s="1"/>
  <c r="K25" i="12" s="1"/>
  <c r="D31" i="12"/>
  <c r="N17" i="12"/>
  <c r="N21" i="12"/>
  <c r="N25" i="12"/>
  <c r="N28" i="12"/>
  <c r="O18" i="12"/>
  <c r="O22" i="12"/>
  <c r="O26" i="12"/>
  <c r="O29" i="12"/>
  <c r="P19" i="12"/>
  <c r="P23" i="12"/>
  <c r="P30" i="12"/>
  <c r="Q20" i="12"/>
  <c r="Q24" i="12"/>
  <c r="Q27" i="12"/>
  <c r="Q32" i="12"/>
  <c r="B20" i="12"/>
  <c r="B24" i="12"/>
  <c r="B28" i="12"/>
  <c r="H20" i="12"/>
  <c r="H24" i="12"/>
  <c r="H28" i="12"/>
  <c r="H32" i="12"/>
  <c r="C26" i="12"/>
  <c r="C30" i="12"/>
  <c r="I17" i="12"/>
  <c r="I21" i="12"/>
  <c r="I25" i="12"/>
  <c r="I29" i="12"/>
  <c r="D19" i="12"/>
  <c r="D23" i="12"/>
  <c r="D27" i="12"/>
  <c r="D32" i="12"/>
  <c r="J18" i="12"/>
  <c r="J22" i="12"/>
  <c r="J26" i="12"/>
  <c r="J30" i="12"/>
  <c r="E20" i="12"/>
  <c r="E24" i="12"/>
  <c r="E28" i="12"/>
  <c r="K19" i="12"/>
  <c r="K23" i="12"/>
  <c r="K27" i="12"/>
  <c r="K32" i="12"/>
  <c r="D26" i="3"/>
  <c r="E28" i="3"/>
  <c r="B30" i="3"/>
  <c r="K25" i="3"/>
  <c r="L26" i="3"/>
  <c r="I30" i="3"/>
  <c r="K28" i="3"/>
  <c r="K30" i="3"/>
  <c r="R25" i="3"/>
  <c r="S26" i="3"/>
  <c r="S27" i="3"/>
  <c r="P29" i="3"/>
  <c r="R30" i="3"/>
  <c r="C24" i="3"/>
  <c r="C28" i="3"/>
  <c r="J24" i="3"/>
  <c r="J28" i="3"/>
  <c r="L24" i="3"/>
  <c r="Q26" i="3"/>
  <c r="Q30" i="3"/>
  <c r="C4" i="12"/>
  <c r="C8" i="12" s="1"/>
  <c r="C9" i="12" s="1"/>
  <c r="C22" i="12" s="1"/>
  <c r="B31" i="12"/>
  <c r="O31" i="12"/>
  <c r="B4" i="10"/>
  <c r="A17" i="10" s="1"/>
  <c r="L13" i="10"/>
  <c r="L7" i="17"/>
  <c r="K8" i="10" l="1"/>
  <c r="K12" i="17"/>
  <c r="M8" i="17"/>
  <c r="M7" i="10"/>
  <c r="M11" i="17"/>
  <c r="M4" i="17"/>
  <c r="M6" i="10"/>
  <c r="M5" i="10"/>
  <c r="M12" i="10"/>
  <c r="K6" i="17"/>
  <c r="M15" i="10"/>
  <c r="K10" i="10"/>
  <c r="E17" i="12"/>
  <c r="E33" i="12" s="1"/>
  <c r="L14" i="17"/>
  <c r="K13" i="10"/>
  <c r="K11" i="17"/>
  <c r="K9" i="10"/>
  <c r="Q33" i="12"/>
  <c r="K14" i="17"/>
  <c r="M14" i="17"/>
  <c r="M14" i="10"/>
  <c r="C18" i="12"/>
  <c r="C33" i="12" s="1"/>
  <c r="F7" i="10" s="1"/>
  <c r="K7" i="17"/>
  <c r="L5" i="10"/>
  <c r="L6" i="10"/>
  <c r="B18" i="12"/>
  <c r="B19" i="12"/>
  <c r="K5" i="10"/>
  <c r="P33" i="12"/>
  <c r="O33" i="12"/>
  <c r="K4" i="10"/>
  <c r="K33" i="12"/>
  <c r="J33" i="12"/>
  <c r="D33" i="12"/>
  <c r="I33" i="12"/>
  <c r="N33" i="12"/>
  <c r="H33" i="12"/>
  <c r="F5" i="10" s="1"/>
  <c r="L40" i="3"/>
  <c r="M121" i="3" s="1"/>
  <c r="G14" i="17" s="1"/>
  <c r="C40" i="3"/>
  <c r="D121" i="3" s="1"/>
  <c r="G7" i="17" s="1"/>
  <c r="B20" i="17" s="1"/>
  <c r="Q40" i="3"/>
  <c r="R121" i="3" s="1"/>
  <c r="G9" i="10" s="1"/>
  <c r="P40" i="3"/>
  <c r="Q121" i="3" s="1"/>
  <c r="G6" i="17" s="1"/>
  <c r="S40" i="3"/>
  <c r="T121" i="3" s="1"/>
  <c r="G15" i="10" s="1"/>
  <c r="E40" i="3"/>
  <c r="F121" i="3" s="1"/>
  <c r="G13" i="17" s="1"/>
  <c r="B26" i="17" s="1"/>
  <c r="I40" i="3"/>
  <c r="J121" i="3" s="1"/>
  <c r="B40" i="3"/>
  <c r="C121" i="3" s="1"/>
  <c r="G4" i="10" s="1"/>
  <c r="B17" i="10" s="1"/>
  <c r="J40" i="3"/>
  <c r="K121" i="3" s="1"/>
  <c r="K40" i="3"/>
  <c r="L121" i="3" s="1"/>
  <c r="R40" i="3"/>
  <c r="S121" i="3" s="1"/>
  <c r="D40" i="3"/>
  <c r="E121" i="3" s="1"/>
  <c r="F8" i="17" l="1"/>
  <c r="F5" i="17"/>
  <c r="F6" i="17"/>
  <c r="F14" i="17"/>
  <c r="F13" i="17"/>
  <c r="F15" i="17"/>
  <c r="F10" i="17"/>
  <c r="F7" i="17"/>
  <c r="G14" i="10"/>
  <c r="G7" i="10"/>
  <c r="B20" i="10" s="1"/>
  <c r="B33" i="12"/>
  <c r="G6" i="10"/>
  <c r="G9" i="17"/>
  <c r="G13" i="10"/>
  <c r="B26" i="10" s="1"/>
  <c r="G15" i="17"/>
  <c r="G4" i="17"/>
  <c r="B17" i="17" s="1"/>
  <c r="G8" i="10"/>
  <c r="G8" i="17"/>
  <c r="G5" i="10"/>
  <c r="G5" i="17"/>
  <c r="G11" i="10"/>
  <c r="G11" i="17"/>
  <c r="G10" i="17"/>
  <c r="B23" i="17" s="1"/>
  <c r="G10" i="10"/>
  <c r="B23" i="10" s="1"/>
  <c r="G12" i="17"/>
  <c r="G12" i="10"/>
  <c r="F4" i="17" l="1"/>
  <c r="F4" i="10"/>
</calcChain>
</file>

<file path=xl/sharedStrings.xml><?xml version="1.0" encoding="utf-8"?>
<sst xmlns="http://schemas.openxmlformats.org/spreadsheetml/2006/main" count="1523" uniqueCount="331">
  <si>
    <t>GENERAL INFORMATION:</t>
  </si>
  <si>
    <t xml:space="preserve">  Producer:</t>
  </si>
  <si>
    <t>Address:</t>
  </si>
  <si>
    <t>City, State:</t>
  </si>
  <si>
    <t>Intended Crop</t>
  </si>
  <si>
    <t>CROP INFORMATION:</t>
  </si>
  <si>
    <t>Second Crop</t>
  </si>
  <si>
    <t>Third Crop</t>
  </si>
  <si>
    <t>Previous Crop</t>
  </si>
  <si>
    <t>Irrigation:</t>
  </si>
  <si>
    <t>No</t>
  </si>
  <si>
    <t>Field ID</t>
  </si>
  <si>
    <t>Date:</t>
  </si>
  <si>
    <t>Lab Number</t>
  </si>
  <si>
    <t>pH</t>
  </si>
  <si>
    <t>DTPA</t>
  </si>
  <si>
    <t>Zn ppm</t>
  </si>
  <si>
    <t>Fe ppm</t>
  </si>
  <si>
    <t>Sulfur ppm</t>
  </si>
  <si>
    <t>Chloride ppm</t>
  </si>
  <si>
    <t>SOIL TEST RESULTS:</t>
  </si>
  <si>
    <t>Yield Goal</t>
  </si>
  <si>
    <r>
      <t xml:space="preserve">Yield Goal </t>
    </r>
    <r>
      <rPr>
        <b/>
        <sz val="8"/>
        <rFont val="Arial"/>
        <family val="2"/>
      </rPr>
      <t>(bu/acre or T/acre)</t>
    </r>
  </si>
  <si>
    <t>Lime ECC</t>
  </si>
  <si>
    <t>Nitrogen</t>
  </si>
  <si>
    <t>Zinc</t>
  </si>
  <si>
    <t>Sulfur</t>
  </si>
  <si>
    <t>Chloride</t>
  </si>
  <si>
    <r>
      <t>Potassium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</si>
  <si>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r>
      <t>Phosphate 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</si>
  <si>
    <t>Corn</t>
  </si>
  <si>
    <t>Organic Matter     %</t>
  </si>
  <si>
    <t>Soybeans</t>
  </si>
  <si>
    <t>Nitrogen:</t>
  </si>
  <si>
    <t>Sample A</t>
  </si>
  <si>
    <t>Sample B</t>
  </si>
  <si>
    <t>Sample C</t>
  </si>
  <si>
    <t>Sample D</t>
  </si>
  <si>
    <t>Wheat</t>
  </si>
  <si>
    <t>Grain Sorghum</t>
  </si>
  <si>
    <t>Silage-Corn</t>
  </si>
  <si>
    <t>Silage-Sorghum</t>
  </si>
  <si>
    <t>Sunflower</t>
  </si>
  <si>
    <t>Oats</t>
  </si>
  <si>
    <t>Fescue</t>
  </si>
  <si>
    <t>Bermuda</t>
  </si>
  <si>
    <t>New Brome</t>
  </si>
  <si>
    <t>New Fescue</t>
  </si>
  <si>
    <t>New Legume</t>
  </si>
  <si>
    <t>Alfalfa</t>
  </si>
  <si>
    <t>Prev. Crop</t>
  </si>
  <si>
    <t>Sunflowers</t>
  </si>
  <si>
    <t>Fallow</t>
  </si>
  <si>
    <t>Organic Matter Credit:</t>
  </si>
  <si>
    <t>Previous Crop Credit</t>
  </si>
  <si>
    <t>Soil Test Nitrogen:</t>
  </si>
  <si>
    <t>Brome</t>
  </si>
  <si>
    <t>Intended Crop-Corn</t>
  </si>
  <si>
    <t>Intended Crop-Grain Sorghum</t>
  </si>
  <si>
    <t>Intended Crop-Wheat</t>
  </si>
  <si>
    <t>First Intended Crop</t>
  </si>
  <si>
    <t>Final Nitrogen Recommendation</t>
  </si>
  <si>
    <t>Phosphorus:</t>
  </si>
  <si>
    <t>Potassium:</t>
  </si>
  <si>
    <t>Sample A:</t>
  </si>
  <si>
    <t>Sample B:</t>
  </si>
  <si>
    <t>Sample C:</t>
  </si>
  <si>
    <t>Sample D:</t>
  </si>
  <si>
    <t>*A negative valus indicates an addition to the final N rec.</t>
  </si>
  <si>
    <t>Second Intended Crop</t>
  </si>
  <si>
    <t>Third Intended Crop</t>
  </si>
  <si>
    <t>Sulfur:</t>
  </si>
  <si>
    <t>Zinc:</t>
  </si>
  <si>
    <t>Corn, Grain Sorghum, Soybeans</t>
  </si>
  <si>
    <t>Chloride:</t>
  </si>
  <si>
    <t>Boron:</t>
  </si>
  <si>
    <t>Grain Sorgum</t>
  </si>
  <si>
    <t>Alflafa</t>
  </si>
  <si>
    <t>Boron ppm</t>
  </si>
  <si>
    <t>Boron</t>
  </si>
  <si>
    <t>Lime:</t>
  </si>
  <si>
    <t>Adjustment based on pH:</t>
  </si>
  <si>
    <t>Lime Rec.</t>
  </si>
  <si>
    <t>Lime Incorporation Depth (in):</t>
  </si>
  <si>
    <t>Comments:</t>
  </si>
  <si>
    <t>LBS/ACRE</t>
  </si>
  <si>
    <t>Tillage:</t>
  </si>
  <si>
    <t>Tilage Adjustment</t>
  </si>
  <si>
    <t>Alfalfa-Excellent Stand</t>
  </si>
  <si>
    <t>Alfalfa-Good</t>
  </si>
  <si>
    <t>Alfalfa-Fair</t>
  </si>
  <si>
    <t>Alfalfa-Poor</t>
  </si>
  <si>
    <t>Red Clover-Excellent Stand</t>
  </si>
  <si>
    <t>Red Clover-Good</t>
  </si>
  <si>
    <t>Red Clover-Poor</t>
  </si>
  <si>
    <t>Sweet Clover-Excellent Stand</t>
  </si>
  <si>
    <t>Sweet Clover-Good Stand</t>
  </si>
  <si>
    <t>Sweet Clover-Poor Stand</t>
  </si>
  <si>
    <t>Range of Acceptable Intended Yield Goals</t>
  </si>
  <si>
    <t>Directions:</t>
  </si>
  <si>
    <t>1. Identify what region the crop will be grown in based on the county.</t>
  </si>
  <si>
    <t>2. Use the table at the right to identify the range of yields narmally observed for that crop.</t>
  </si>
  <si>
    <t>Yield Goals</t>
  </si>
  <si>
    <t>County</t>
  </si>
  <si>
    <t>Region</t>
  </si>
  <si>
    <t>Crop</t>
  </si>
  <si>
    <t>Unit</t>
  </si>
  <si>
    <t>East Low Yield</t>
  </si>
  <si>
    <t>East High Yield</t>
  </si>
  <si>
    <t>Central Low Yield</t>
  </si>
  <si>
    <t>Central High Yield</t>
  </si>
  <si>
    <t>West Low Yield</t>
  </si>
  <si>
    <t>West High Yield</t>
  </si>
  <si>
    <t>ALLEN</t>
  </si>
  <si>
    <t>Ton</t>
  </si>
  <si>
    <t>3</t>
  </si>
  <si>
    <t>6</t>
  </si>
  <si>
    <t>2</t>
  </si>
  <si>
    <t>5</t>
  </si>
  <si>
    <t>4</t>
  </si>
  <si>
    <t>ANDERSON</t>
  </si>
  <si>
    <t>Alfalfa-Irrigated</t>
  </si>
  <si>
    <t>10</t>
  </si>
  <si>
    <t>ATCHISON</t>
  </si>
  <si>
    <t>7</t>
  </si>
  <si>
    <t>BARBER</t>
  </si>
  <si>
    <t>Central</t>
  </si>
  <si>
    <t>Bermuda-Irrigated</t>
  </si>
  <si>
    <t>8</t>
  </si>
  <si>
    <t>BARTON</t>
  </si>
  <si>
    <t>BOURBON</t>
  </si>
  <si>
    <t>Brome-Irrigated</t>
  </si>
  <si>
    <t>BROWN</t>
  </si>
  <si>
    <t>Clover</t>
  </si>
  <si>
    <t>BUTLER</t>
  </si>
  <si>
    <t>Clover-Irrigated</t>
  </si>
  <si>
    <t>CHASE</t>
  </si>
  <si>
    <t>BU</t>
  </si>
  <si>
    <t>80</t>
  </si>
  <si>
    <t>160</t>
  </si>
  <si>
    <t>50</t>
  </si>
  <si>
    <t>CHAUTAUQUA</t>
  </si>
  <si>
    <t>Corn-Irrigated</t>
  </si>
  <si>
    <t>120</t>
  </si>
  <si>
    <t>220</t>
  </si>
  <si>
    <t>CHEROKEE</t>
  </si>
  <si>
    <t>1</t>
  </si>
  <si>
    <t>CHEYENNE</t>
  </si>
  <si>
    <t>West</t>
  </si>
  <si>
    <t>Fescue-Irrigated</t>
  </si>
  <si>
    <t>CLARK</t>
  </si>
  <si>
    <t>Milo</t>
  </si>
  <si>
    <t>Bu</t>
  </si>
  <si>
    <t>140</t>
  </si>
  <si>
    <t>60</t>
  </si>
  <si>
    <t>100</t>
  </si>
  <si>
    <t>40</t>
  </si>
  <si>
    <t>CLAY</t>
  </si>
  <si>
    <t>Milo-Irrigated</t>
  </si>
  <si>
    <t>CLOUD</t>
  </si>
  <si>
    <t>New-Alfalfa</t>
  </si>
  <si>
    <t>COFFEY</t>
  </si>
  <si>
    <t>New-Alfalfa-Irrigated</t>
  </si>
  <si>
    <t>COMANCHE</t>
  </si>
  <si>
    <t>New-Brome</t>
  </si>
  <si>
    <t>COWLEY</t>
  </si>
  <si>
    <t>New-Brome-Irrigated</t>
  </si>
  <si>
    <t>CRAWFORD</t>
  </si>
  <si>
    <t>New-Clover</t>
  </si>
  <si>
    <t>DECATUR</t>
  </si>
  <si>
    <t>New-Clover-Irrigated</t>
  </si>
  <si>
    <t>DICKINSON</t>
  </si>
  <si>
    <t>New-Fescue</t>
  </si>
  <si>
    <t>DONIPHAN</t>
  </si>
  <si>
    <t>New-Fescue-Irrigated</t>
  </si>
  <si>
    <t>DOUGLAS</t>
  </si>
  <si>
    <t>110</t>
  </si>
  <si>
    <t>70</t>
  </si>
  <si>
    <t>EDWARDS</t>
  </si>
  <si>
    <t>Oats-Irrigated</t>
  </si>
  <si>
    <t>26</t>
  </si>
  <si>
    <t>16</t>
  </si>
  <si>
    <t>12</t>
  </si>
  <si>
    <t>ELLIS</t>
  </si>
  <si>
    <t>Silage-Corn-Irrigated</t>
  </si>
  <si>
    <t>20</t>
  </si>
  <si>
    <t>30</t>
  </si>
  <si>
    <t>ELLSWORTH</t>
  </si>
  <si>
    <t>Silage-Milo</t>
  </si>
  <si>
    <t>FINNEY</t>
  </si>
  <si>
    <t>Silage-Milo-Irrigated</t>
  </si>
  <si>
    <t>14</t>
  </si>
  <si>
    <t>FORD</t>
  </si>
  <si>
    <t>FRANKLIN</t>
  </si>
  <si>
    <t>Soybeans-Irrigated</t>
  </si>
  <si>
    <t>GEARY</t>
  </si>
  <si>
    <t>SunFlower</t>
  </si>
  <si>
    <t>0.5</t>
  </si>
  <si>
    <t>1.5</t>
  </si>
  <si>
    <t>GOVE</t>
  </si>
  <si>
    <t>SunFlower-Irrigated</t>
  </si>
  <si>
    <t>GRAHAM</t>
  </si>
  <si>
    <t>25</t>
  </si>
  <si>
    <t>45</t>
  </si>
  <si>
    <t>GRANT</t>
  </si>
  <si>
    <t>Wheat-Irrigated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</si>
  <si>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</si>
  <si>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</si>
  <si>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</si>
  <si>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</si>
  <si>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</si>
  <si>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</si>
  <si>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</si>
  <si>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</si>
  <si>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</si>
  <si>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</si>
  <si>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</si>
  <si>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</si>
  <si>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</si>
  <si>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</si>
  <si>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</si>
  <si>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</si>
  <si>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</si>
  <si>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</si>
  <si>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</si>
  <si>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</si>
  <si>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</si>
  <si>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</si>
  <si>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</si>
  <si>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</si>
  <si>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</si>
  <si>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</si>
  <si>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</si>
  <si>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</si>
  <si>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</si>
  <si>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</si>
  <si>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</si>
  <si>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</si>
  <si>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</si>
  <si>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</si>
  <si>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</si>
  <si>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</si>
  <si>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</si>
  <si>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</si>
  <si>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</si>
  <si>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</si>
  <si>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</si>
  <si>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</si>
  <si>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</si>
  <si>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</si>
  <si>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</si>
  <si>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</si>
  <si>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</si>
  <si>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</si>
  <si>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</si>
  <si>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</si>
  <si>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</si>
  <si>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</si>
  <si>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</si>
  <si>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</si>
  <si>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</si>
  <si>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</si>
  <si>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</si>
  <si>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</si>
  <si>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</si>
  <si>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</si>
  <si>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</si>
  <si>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</si>
  <si>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</si>
  <si>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</si>
  <si>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</si>
  <si>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</si>
  <si>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</si>
  <si>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</si>
  <si>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</si>
  <si>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</si>
  <si>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</si>
  <si>
    <t>Region:</t>
  </si>
  <si>
    <t>New Bermuda</t>
  </si>
  <si>
    <t>New Alfalfa/Clover</t>
  </si>
  <si>
    <r>
      <t>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  <r>
      <rPr>
        <b/>
        <sz val="10"/>
        <rFont val="Arial"/>
        <family val="2"/>
      </rPr>
      <t xml:space="preserve"> Removal:</t>
    </r>
  </si>
  <si>
    <t>First Crop</t>
  </si>
  <si>
    <r>
      <t>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  <r>
      <rPr>
        <b/>
        <sz val="10"/>
        <rFont val="Arial"/>
        <family val="2"/>
      </rPr>
      <t xml:space="preserve"> Ferilizer Recommendation:</t>
    </r>
  </si>
  <si>
    <r>
      <t>P</t>
    </r>
    <r>
      <rPr>
        <b/>
        <vertAlign val="subscript"/>
        <sz val="14"/>
        <color indexed="12"/>
        <rFont val="Arial"/>
        <family val="2"/>
      </rPr>
      <t>2</t>
    </r>
    <r>
      <rPr>
        <b/>
        <sz val="14"/>
        <color indexed="12"/>
        <rFont val="Arial"/>
        <family val="2"/>
      </rPr>
      <t>O</t>
    </r>
    <r>
      <rPr>
        <b/>
        <vertAlign val="subscript"/>
        <sz val="14"/>
        <color indexed="12"/>
        <rFont val="Arial"/>
        <family val="2"/>
      </rPr>
      <t>5</t>
    </r>
    <r>
      <rPr>
        <b/>
        <sz val="14"/>
        <color indexed="12"/>
        <rFont val="Arial"/>
        <family val="2"/>
      </rPr>
      <t xml:space="preserve"> Removal:</t>
    </r>
  </si>
  <si>
    <t xml:space="preserve"> P and K Crop Removal Numbers</t>
  </si>
  <si>
    <t>lbs/ton</t>
  </si>
  <si>
    <t>Red clover</t>
  </si>
  <si>
    <t>Bermudagrass</t>
  </si>
  <si>
    <t>Bromegrass</t>
  </si>
  <si>
    <t>Fescue, tall</t>
  </si>
  <si>
    <t>lbs/bu</t>
  </si>
  <si>
    <t>Corn silage</t>
  </si>
  <si>
    <t>Grain sorghum</t>
  </si>
  <si>
    <t>Sorghum silage</t>
  </si>
  <si>
    <t>lbs/cwt</t>
  </si>
  <si>
    <t>Native grass</t>
  </si>
  <si>
    <t>First Sample</t>
  </si>
  <si>
    <t>Fourth Sample</t>
  </si>
  <si>
    <t>Third Sample</t>
  </si>
  <si>
    <t>Second Sample</t>
  </si>
  <si>
    <t>Years to build soil test:</t>
  </si>
  <si>
    <r>
      <t>K</t>
    </r>
    <r>
      <rPr>
        <b/>
        <vertAlign val="subscript"/>
        <sz val="14"/>
        <color indexed="12"/>
        <rFont val="Arial"/>
        <family val="2"/>
      </rPr>
      <t>2</t>
    </r>
    <r>
      <rPr>
        <b/>
        <sz val="14"/>
        <color indexed="12"/>
        <rFont val="Arial"/>
        <family val="2"/>
      </rPr>
      <t>O</t>
    </r>
    <r>
      <rPr>
        <b/>
        <sz val="14"/>
        <color indexed="12"/>
        <rFont val="Arial"/>
        <family val="2"/>
      </rPr>
      <t xml:space="preserve"> Removal:</t>
    </r>
  </si>
  <si>
    <r>
      <t>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sz val="10"/>
        <rFont val="Arial"/>
        <family val="2"/>
      </rPr>
      <t xml:space="preserve"> Removal:</t>
    </r>
  </si>
  <si>
    <r>
      <t>Phosphate 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  <r>
      <rPr>
        <b/>
        <vertAlign val="subscript"/>
        <sz val="10"/>
        <color indexed="10"/>
        <rFont val="Arial"/>
        <family val="2"/>
      </rPr>
      <t>*</t>
    </r>
  </si>
  <si>
    <r>
      <t>Potassium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sz val="10"/>
        <color indexed="10"/>
        <rFont val="Arial"/>
        <family val="2"/>
      </rPr>
      <t>*</t>
    </r>
  </si>
  <si>
    <r>
      <t>Final 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  <r>
      <rPr>
        <b/>
        <sz val="10"/>
        <rFont val="Arial"/>
        <family val="2"/>
      </rPr>
      <t xml:space="preserve"> Ferilizer Recommendation:</t>
    </r>
  </si>
  <si>
    <r>
      <t>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sz val="10"/>
        <rFont val="Arial"/>
        <family val="2"/>
      </rPr>
      <t xml:space="preserve"> Ferilizer Recommendation:</t>
    </r>
  </si>
  <si>
    <r>
      <t>Final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 Ferilizer Recommendation:</t>
    </r>
  </si>
  <si>
    <r>
      <t>P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O</t>
    </r>
    <r>
      <rPr>
        <b/>
        <vertAlign val="subscript"/>
        <sz val="12"/>
        <color indexed="8"/>
        <rFont val="Arial"/>
        <family val="2"/>
      </rPr>
      <t>5</t>
    </r>
  </si>
  <si>
    <r>
      <t>K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O</t>
    </r>
  </si>
  <si>
    <t>Conventional</t>
  </si>
  <si>
    <r>
      <t>*P</t>
    </r>
    <r>
      <rPr>
        <vertAlign val="subscript"/>
        <sz val="8"/>
        <color indexed="10"/>
        <rFont val="Arial"/>
        <family val="2"/>
      </rPr>
      <t>2</t>
    </r>
    <r>
      <rPr>
        <sz val="8"/>
        <color indexed="10"/>
        <rFont val="Arial"/>
        <family val="2"/>
      </rPr>
      <t>O</t>
    </r>
    <r>
      <rPr>
        <vertAlign val="subscript"/>
        <sz val="8"/>
        <color indexed="10"/>
        <rFont val="Arial"/>
        <family val="2"/>
      </rPr>
      <t>5</t>
    </r>
    <r>
      <rPr>
        <sz val="8"/>
        <color indexed="10"/>
        <rFont val="Arial"/>
        <family val="2"/>
      </rPr>
      <t xml:space="preserve"> and K</t>
    </r>
    <r>
      <rPr>
        <vertAlign val="subscript"/>
        <sz val="8"/>
        <color indexed="10"/>
        <rFont val="Arial"/>
        <family val="2"/>
      </rPr>
      <t>2</t>
    </r>
    <r>
      <rPr>
        <sz val="8"/>
        <color indexed="10"/>
        <rFont val="Arial"/>
        <family val="2"/>
      </rPr>
      <t>O recommendations are build-maintenance recommendations.  If intended crop is grass then no build rec. is given.</t>
    </r>
  </si>
  <si>
    <t>Intended Crop-Silage-Corn</t>
  </si>
  <si>
    <t>Intended Crop-Silage-Sorghum</t>
  </si>
  <si>
    <t>Southeast</t>
  </si>
  <si>
    <t>Northeast</t>
  </si>
  <si>
    <t>Default Target pH</t>
  </si>
  <si>
    <t>Target pH:</t>
  </si>
  <si>
    <t>*If field is no-till, alfalfa or grass lime incorp. should be set at 2 in.</t>
  </si>
  <si>
    <t>Elk</t>
  </si>
  <si>
    <r>
      <t xml:space="preserve">  County:</t>
    </r>
    <r>
      <rPr>
        <b/>
        <sz val="10"/>
        <color indexed="53"/>
        <rFont val="Arial"/>
        <family val="2"/>
      </rPr>
      <t>*</t>
    </r>
  </si>
  <si>
    <t>*Must enter full county name.</t>
  </si>
  <si>
    <t>Mehlich 3 P         ppm</t>
  </si>
  <si>
    <r>
      <t>Nitrate-N ppm (surface or profile)</t>
    </r>
    <r>
      <rPr>
        <b/>
        <sz val="14"/>
        <color indexed="10"/>
        <rFont val="Arial"/>
        <family val="2"/>
      </rPr>
      <t>*</t>
    </r>
  </si>
  <si>
    <t>Total Sample Depth (in)</t>
  </si>
  <si>
    <t>Sikora Buffer pH</t>
  </si>
  <si>
    <r>
      <t>* Enter profile NO</t>
    </r>
    <r>
      <rPr>
        <b/>
        <vertAlign val="subscript"/>
        <sz val="10"/>
        <color indexed="10"/>
        <rFont val="Arial"/>
        <family val="2"/>
      </rPr>
      <t>3</t>
    </r>
    <r>
      <rPr>
        <b/>
        <sz val="10"/>
        <color indexed="10"/>
        <rFont val="Arial"/>
        <family val="2"/>
      </rPr>
      <t>-N value if 0-24" sample was submitted, otherwise enter the NO</t>
    </r>
    <r>
      <rPr>
        <b/>
        <vertAlign val="subscript"/>
        <sz val="10"/>
        <color indexed="10"/>
        <rFont val="Arial"/>
        <family val="2"/>
      </rPr>
      <t>3</t>
    </r>
    <r>
      <rPr>
        <b/>
        <sz val="10"/>
        <color indexed="10"/>
        <rFont val="Arial"/>
        <family val="2"/>
      </rPr>
      <t>-N value for the surface sample.</t>
    </r>
  </si>
  <si>
    <t>Mehlich 3 K         ppm</t>
  </si>
  <si>
    <t>** Updated May 15th, 2023</t>
  </si>
  <si>
    <t>Updated May 15th, 2023</t>
  </si>
  <si>
    <t>Riley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</si>
</sst>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4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2"/>
      <name val="Arial"/>
      <family val="2"/>
    </font>
    <font>
      <b/>
      <sz val="12"/>
      <color indexed="20"/>
      <name val="Arial"/>
      <family val="2"/>
    </font>
    <font>
      <b/>
      <sz val="7"/>
      <color indexed="2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8"/>
      <color indexed="53"/>
      <name val="Arial"/>
      <family val="2"/>
    </font>
    <font>
      <b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indexed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u/>
      <sz val="14"/>
      <color indexed="12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vertAlign val="subscript"/>
      <sz val="14"/>
      <color indexed="12"/>
      <name val="Arial"/>
      <family val="2"/>
    </font>
    <font>
      <b/>
      <sz val="10"/>
      <color indexed="17"/>
      <name val="Arial"/>
      <family val="2"/>
    </font>
    <font>
      <b/>
      <sz val="16"/>
      <color indexed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vertAlign val="subscript"/>
      <sz val="10"/>
      <color indexed="10"/>
      <name val="Arial"/>
      <family val="2"/>
    </font>
    <font>
      <sz val="8"/>
      <color indexed="10"/>
      <name val="Arial"/>
      <family val="2"/>
    </font>
    <font>
      <b/>
      <vertAlign val="subscript"/>
      <sz val="12"/>
      <color indexed="8"/>
      <name val="Arial"/>
      <family val="2"/>
    </font>
    <font>
      <vertAlign val="subscript"/>
      <sz val="8"/>
      <color indexed="10"/>
      <name val="Arial"/>
      <family val="2"/>
    </font>
    <font>
      <b/>
      <sz val="10"/>
      <color indexed="53"/>
      <name val="Arial"/>
      <family val="2"/>
    </font>
    <font>
      <b/>
      <sz val="14"/>
      <color indexed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0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248">
    <xf numFmtId="0" fontId="0" fillId="0" borderId="0" xfId="0"/>
    <xf numFmtId="0" fontId="2" fillId="0" borderId="0" xfId="0" applyFont="1" applyAlignment="1"/>
    <xf numFmtId="0" fontId="0" fillId="0" borderId="0" xfId="0" applyFill="1"/>
    <xf numFmtId="0" fontId="0" fillId="0" borderId="0" xfId="0" applyBorder="1"/>
    <xf numFmtId="0" fontId="0" fillId="0" borderId="2" xfId="0" applyBorder="1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/>
    </xf>
    <xf numFmtId="0" fontId="2" fillId="0" borderId="4" xfId="0" applyFont="1" applyBorder="1"/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2" fillId="0" borderId="0" xfId="0" applyFont="1" applyFill="1" applyBorder="1"/>
    <xf numFmtId="0" fontId="7" fillId="0" borderId="4" xfId="0" quotePrefix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5" xfId="0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/>
    <xf numFmtId="1" fontId="0" fillId="0" borderId="0" xfId="0" quotePrefix="1" applyNumberFormat="1" applyFill="1" applyBorder="1" applyAlignment="1">
      <alignment horizontal="center"/>
    </xf>
    <xf numFmtId="1" fontId="0" fillId="0" borderId="4" xfId="0" quotePrefix="1" applyNumberFormat="1" applyFill="1" applyBorder="1" applyAlignment="1">
      <alignment horizontal="center"/>
    </xf>
    <xf numFmtId="0" fontId="0" fillId="0" borderId="8" xfId="0" applyBorder="1"/>
    <xf numFmtId="0" fontId="17" fillId="0" borderId="0" xfId="0" applyFont="1" applyBorder="1"/>
    <xf numFmtId="0" fontId="0" fillId="0" borderId="0" xfId="0" applyAlignment="1">
      <alignment horizontal="center" vertical="center"/>
    </xf>
    <xf numFmtId="0" fontId="0" fillId="2" borderId="9" xfId="0" applyNumberForma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/>
    </xf>
    <xf numFmtId="0" fontId="0" fillId="2" borderId="12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0" xfId="0" applyFont="1"/>
    <xf numFmtId="0" fontId="19" fillId="0" borderId="15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Alignment="1"/>
    <xf numFmtId="0" fontId="2" fillId="0" borderId="0" xfId="0" applyFont="1" applyAlignment="1">
      <alignment horizontal="center" vertical="center"/>
    </xf>
    <xf numFmtId="164" fontId="0" fillId="3" borderId="12" xfId="0" applyNumberFormat="1" applyFill="1" applyBorder="1" applyAlignment="1" applyProtection="1">
      <alignment horizontal="center" vertical="center"/>
      <protection hidden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1" xfId="0" applyBorder="1"/>
    <xf numFmtId="0" fontId="13" fillId="0" borderId="3" xfId="0" applyFont="1" applyBorder="1" applyAlignment="1"/>
    <xf numFmtId="0" fontId="22" fillId="0" borderId="0" xfId="0" applyFont="1"/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165" fontId="14" fillId="3" borderId="22" xfId="0" applyNumberFormat="1" applyFont="1" applyFill="1" applyBorder="1" applyAlignment="1" applyProtection="1">
      <alignment horizontal="center"/>
      <protection locked="0"/>
    </xf>
    <xf numFmtId="165" fontId="14" fillId="3" borderId="10" xfId="0" applyNumberFormat="1" applyFont="1" applyFill="1" applyBorder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/>
      <protection locked="0"/>
    </xf>
    <xf numFmtId="165" fontId="14" fillId="3" borderId="23" xfId="0" applyNumberFormat="1" applyFont="1" applyFill="1" applyBorder="1" applyAlignment="1" applyProtection="1">
      <alignment horizontal="center"/>
      <protection locked="0"/>
    </xf>
    <xf numFmtId="0" fontId="14" fillId="3" borderId="23" xfId="0" applyFont="1" applyFill="1" applyBorder="1" applyAlignment="1" applyProtection="1">
      <alignment horizontal="center"/>
      <protection locked="0"/>
    </xf>
    <xf numFmtId="0" fontId="14" fillId="3" borderId="12" xfId="0" applyFont="1" applyFill="1" applyBorder="1" applyAlignment="1" applyProtection="1">
      <alignment horizontal="center"/>
      <protection locked="0"/>
    </xf>
    <xf numFmtId="165" fontId="14" fillId="3" borderId="24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 applyAlignment="1" applyProtection="1">
      <alignment horizontal="center"/>
      <protection locked="0"/>
    </xf>
    <xf numFmtId="165" fontId="14" fillId="3" borderId="25" xfId="0" applyNumberFormat="1" applyFont="1" applyFill="1" applyBorder="1" applyAlignment="1" applyProtection="1">
      <alignment horizontal="center"/>
      <protection locked="0"/>
    </xf>
    <xf numFmtId="165" fontId="14" fillId="3" borderId="26" xfId="0" applyNumberFormat="1" applyFont="1" applyFill="1" applyBorder="1" applyAlignment="1" applyProtection="1">
      <alignment horizontal="center"/>
      <protection locked="0"/>
    </xf>
    <xf numFmtId="0" fontId="14" fillId="3" borderId="16" xfId="0" applyFont="1" applyFill="1" applyBorder="1" applyAlignment="1" applyProtection="1">
      <alignment horizontal="center"/>
      <protection locked="0"/>
    </xf>
    <xf numFmtId="165" fontId="14" fillId="3" borderId="27" xfId="0" applyNumberFormat="1" applyFont="1" applyFill="1" applyBorder="1" applyAlignment="1" applyProtection="1">
      <alignment horizontal="center"/>
      <protection locked="0"/>
    </xf>
    <xf numFmtId="0" fontId="14" fillId="3" borderId="27" xfId="0" applyFont="1" applyFill="1" applyBorder="1" applyAlignment="1" applyProtection="1">
      <alignment horizontal="center"/>
      <protection locked="0"/>
    </xf>
    <xf numFmtId="49" fontId="14" fillId="2" borderId="28" xfId="0" applyNumberFormat="1" applyFont="1" applyFill="1" applyBorder="1" applyAlignment="1" applyProtection="1">
      <alignment horizontal="center"/>
      <protection locked="0"/>
    </xf>
    <xf numFmtId="49" fontId="14" fillId="2" borderId="29" xfId="0" applyNumberFormat="1" applyFont="1" applyFill="1" applyBorder="1" applyAlignment="1" applyProtection="1">
      <alignment horizontal="center"/>
      <protection locked="0"/>
    </xf>
    <xf numFmtId="49" fontId="14" fillId="2" borderId="30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165" fontId="14" fillId="3" borderId="31" xfId="0" applyNumberFormat="1" applyFont="1" applyFill="1" applyBorder="1" applyAlignment="1" applyProtection="1">
      <alignment horizontal="center"/>
      <protection locked="0"/>
    </xf>
    <xf numFmtId="165" fontId="14" fillId="3" borderId="32" xfId="0" applyNumberFormat="1" applyFont="1" applyFill="1" applyBorder="1" applyAlignment="1" applyProtection="1">
      <alignment horizontal="center"/>
      <protection locked="0"/>
    </xf>
    <xf numFmtId="165" fontId="14" fillId="3" borderId="17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49" fontId="0" fillId="3" borderId="15" xfId="0" applyNumberFormat="1" applyFill="1" applyBorder="1" applyAlignment="1" applyProtection="1">
      <alignment horizontal="center" vertical="center"/>
      <protection locked="0"/>
    </xf>
    <xf numFmtId="0" fontId="0" fillId="0" borderId="25" xfId="0" applyBorder="1"/>
    <xf numFmtId="0" fontId="0" fillId="2" borderId="15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 applyProtection="1">
      <alignment horizontal="center" vertical="center"/>
      <protection hidden="1"/>
    </xf>
    <xf numFmtId="0" fontId="0" fillId="0" borderId="22" xfId="0" applyNumberFormat="1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1" fontId="0" fillId="0" borderId="23" xfId="0" applyNumberFormat="1" applyFill="1" applyBorder="1" applyAlignment="1" applyProtection="1">
      <alignment horizontal="center" vertical="center"/>
      <protection hidden="1"/>
    </xf>
    <xf numFmtId="0" fontId="0" fillId="0" borderId="23" xfId="0" applyFill="1" applyBorder="1" applyAlignment="1" applyProtection="1">
      <alignment horizontal="center" vertical="center"/>
      <protection hidden="1"/>
    </xf>
    <xf numFmtId="0" fontId="0" fillId="0" borderId="31" xfId="0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32" xfId="0" applyFill="1" applyBorder="1" applyAlignment="1" applyProtection="1">
      <alignment horizontal="center" vertical="center"/>
      <protection hidden="1"/>
    </xf>
    <xf numFmtId="0" fontId="0" fillId="0" borderId="12" xfId="0" applyNumberFormat="1" applyFill="1" applyBorder="1" applyAlignment="1" applyProtection="1">
      <alignment horizontal="center" vertical="center"/>
      <protection hidden="1"/>
    </xf>
    <xf numFmtId="0" fontId="0" fillId="0" borderId="14" xfId="0" applyNumberFormat="1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center" vertical="center"/>
      <protection hidden="1"/>
    </xf>
    <xf numFmtId="0" fontId="0" fillId="0" borderId="16" xfId="0" applyNumberFormat="1" applyFill="1" applyBorder="1" applyAlignment="1" applyProtection="1">
      <alignment horizontal="center" vertical="center"/>
      <protection hidden="1"/>
    </xf>
    <xf numFmtId="1" fontId="0" fillId="0" borderId="16" xfId="0" applyNumberFormat="1" applyFill="1" applyBorder="1" applyAlignment="1" applyProtection="1">
      <alignment horizontal="center" vertical="center"/>
      <protection hidden="1"/>
    </xf>
    <xf numFmtId="1" fontId="0" fillId="0" borderId="33" xfId="0" applyNumberFormat="1" applyFill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8" fillId="0" borderId="0" xfId="0" applyFont="1" applyBorder="1"/>
    <xf numFmtId="0" fontId="24" fillId="0" borderId="0" xfId="0" applyFont="1"/>
    <xf numFmtId="0" fontId="0" fillId="0" borderId="34" xfId="0" applyBorder="1" applyAlignment="1">
      <alignment horizontal="center" vertical="center"/>
    </xf>
    <xf numFmtId="0" fontId="27" fillId="0" borderId="0" xfId="0" applyFont="1"/>
    <xf numFmtId="0" fontId="30" fillId="0" borderId="0" xfId="0" applyFont="1"/>
    <xf numFmtId="0" fontId="30" fillId="0" borderId="0" xfId="0" applyFont="1" applyBorder="1"/>
    <xf numFmtId="0" fontId="25" fillId="0" borderId="35" xfId="1" applyFont="1" applyFill="1" applyBorder="1" applyAlignment="1">
      <alignment wrapText="1"/>
    </xf>
    <xf numFmtId="0" fontId="25" fillId="0" borderId="35" xfId="1" applyFont="1" applyFill="1" applyBorder="1" applyAlignment="1">
      <alignment horizontal="center" wrapText="1"/>
    </xf>
    <xf numFmtId="1" fontId="25" fillId="0" borderId="35" xfId="1" applyNumberFormat="1" applyFont="1" applyFill="1" applyBorder="1" applyAlignment="1">
      <alignment horizontal="center" wrapText="1"/>
    </xf>
    <xf numFmtId="0" fontId="25" fillId="0" borderId="1" xfId="1" applyFont="1" applyFill="1" applyBorder="1" applyAlignment="1">
      <alignment wrapText="1"/>
    </xf>
    <xf numFmtId="0" fontId="25" fillId="0" borderId="1" xfId="1" applyFont="1" applyFill="1" applyBorder="1" applyAlignment="1">
      <alignment horizontal="center" wrapText="1"/>
    </xf>
    <xf numFmtId="1" fontId="25" fillId="0" borderId="1" xfId="1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3" fillId="3" borderId="36" xfId="0" applyFont="1" applyFill="1" applyBorder="1" applyAlignment="1" applyProtection="1">
      <alignment horizontal="center" vertical="center"/>
      <protection hidden="1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0" fontId="0" fillId="0" borderId="38" xfId="0" applyBorder="1"/>
    <xf numFmtId="0" fontId="32" fillId="0" borderId="7" xfId="0" applyFont="1" applyBorder="1" applyAlignment="1">
      <alignment horizontal="center"/>
    </xf>
    <xf numFmtId="0" fontId="34" fillId="0" borderId="0" xfId="0" applyFont="1" applyAlignment="1"/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39" xfId="0" applyFont="1" applyBorder="1" applyAlignment="1"/>
    <xf numFmtId="0" fontId="36" fillId="0" borderId="39" xfId="0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2" fillId="0" borderId="40" xfId="0" applyFont="1" applyBorder="1" applyAlignment="1">
      <alignment horizontal="right"/>
    </xf>
    <xf numFmtId="0" fontId="0" fillId="3" borderId="41" xfId="0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37" xfId="0" applyBorder="1"/>
    <xf numFmtId="1" fontId="0" fillId="0" borderId="0" xfId="0" applyNumberFormat="1" applyFill="1" applyBorder="1" applyAlignment="1" applyProtection="1">
      <alignment vertical="center"/>
      <protection hidden="1"/>
    </xf>
    <xf numFmtId="0" fontId="32" fillId="0" borderId="0" xfId="0" applyFont="1" applyBorder="1" applyAlignment="1">
      <alignment horizontal="center"/>
    </xf>
    <xf numFmtId="0" fontId="0" fillId="0" borderId="27" xfId="0" applyFill="1" applyBorder="1" applyAlignment="1" applyProtection="1">
      <alignment horizontal="center" vertical="center"/>
      <protection hidden="1"/>
    </xf>
    <xf numFmtId="0" fontId="38" fillId="0" borderId="0" xfId="0" applyFont="1"/>
    <xf numFmtId="0" fontId="0" fillId="3" borderId="42" xfId="0" applyFill="1" applyBorder="1" applyAlignment="1" applyProtection="1">
      <alignment horizontal="center"/>
      <protection locked="0"/>
    </xf>
    <xf numFmtId="1" fontId="0" fillId="0" borderId="12" xfId="0" applyNumberForma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5" fillId="0" borderId="0" xfId="1" applyFont="1" applyFill="1" applyBorder="1" applyAlignment="1">
      <alignment horizontal="center" wrapText="1"/>
    </xf>
    <xf numFmtId="165" fontId="0" fillId="3" borderId="22" xfId="0" applyNumberForma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horizontal="left"/>
    </xf>
    <xf numFmtId="0" fontId="16" fillId="0" borderId="0" xfId="0" applyFont="1" applyAlignment="1">
      <alignment vertical="top"/>
    </xf>
    <xf numFmtId="0" fontId="16" fillId="0" borderId="19" xfId="0" applyFont="1" applyBorder="1" applyAlignment="1">
      <alignment vertical="top"/>
    </xf>
    <xf numFmtId="0" fontId="43" fillId="0" borderId="0" xfId="0" applyFont="1"/>
    <xf numFmtId="0" fontId="8" fillId="0" borderId="0" xfId="0" applyFont="1"/>
    <xf numFmtId="0" fontId="29" fillId="5" borderId="12" xfId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8" fillId="0" borderId="39" xfId="0" applyFont="1" applyBorder="1" applyAlignment="1">
      <alignment horizontal="center"/>
    </xf>
    <xf numFmtId="0" fontId="29" fillId="5" borderId="12" xfId="1" applyFont="1" applyFill="1" applyBorder="1" applyAlignment="1">
      <alignment horizontal="center" wrapText="1"/>
    </xf>
    <xf numFmtId="0" fontId="29" fillId="2" borderId="14" xfId="1" applyFont="1" applyFill="1" applyBorder="1" applyAlignment="1">
      <alignment horizontal="center" wrapText="1"/>
    </xf>
    <xf numFmtId="0" fontId="29" fillId="2" borderId="10" xfId="1" applyFont="1" applyFill="1" applyBorder="1" applyAlignment="1">
      <alignment horizont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0" fillId="3" borderId="12" xfId="0" applyFill="1" applyBorder="1" applyAlignment="1" applyProtection="1">
      <alignment horizontal="center" vertical="center"/>
      <protection locked="0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0" fillId="3" borderId="53" xfId="0" applyFill="1" applyBorder="1" applyAlignment="1" applyProtection="1">
      <alignment horizontal="center" vertical="center"/>
      <protection locked="0"/>
    </xf>
    <xf numFmtId="0" fontId="0" fillId="3" borderId="54" xfId="0" applyFill="1" applyBorder="1" applyAlignment="1" applyProtection="1">
      <alignment horizontal="center" vertical="center"/>
      <protection locked="0"/>
    </xf>
    <xf numFmtId="0" fontId="0" fillId="3" borderId="55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/>
      <protection locked="0"/>
    </xf>
    <xf numFmtId="0" fontId="0" fillId="3" borderId="58" xfId="0" applyFill="1" applyBorder="1" applyAlignment="1" applyProtection="1">
      <alignment horizontal="center"/>
      <protection locked="0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5" fillId="3" borderId="50" xfId="0" applyFont="1" applyFill="1" applyBorder="1" applyAlignment="1" applyProtection="1">
      <alignment horizontal="left" vertical="center"/>
      <protection locked="0"/>
    </xf>
    <xf numFmtId="0" fontId="15" fillId="3" borderId="51" xfId="0" applyFont="1" applyFill="1" applyBorder="1" applyAlignment="1" applyProtection="1">
      <alignment horizontal="left" vertical="center"/>
      <protection locked="0"/>
    </xf>
    <xf numFmtId="0" fontId="15" fillId="3" borderId="52" xfId="0" applyFont="1" applyFill="1" applyBorder="1" applyAlignment="1" applyProtection="1">
      <alignment horizontal="left" vertical="center"/>
      <protection locked="0"/>
    </xf>
    <xf numFmtId="0" fontId="2" fillId="3" borderId="53" xfId="0" applyFont="1" applyFill="1" applyBorder="1" applyAlignment="1" applyProtection="1">
      <alignment horizontal="left" vertical="center"/>
      <protection locked="0"/>
    </xf>
    <xf numFmtId="0" fontId="2" fillId="3" borderId="54" xfId="0" applyFont="1" applyFill="1" applyBorder="1" applyAlignment="1" applyProtection="1">
      <alignment horizontal="left" vertical="center"/>
      <protection locked="0"/>
    </xf>
    <xf numFmtId="0" fontId="2" fillId="3" borderId="55" xfId="0" applyFont="1" applyFill="1" applyBorder="1" applyAlignment="1" applyProtection="1">
      <alignment horizontal="left" vertical="center"/>
      <protection locked="0"/>
    </xf>
    <xf numFmtId="0" fontId="15" fillId="3" borderId="53" xfId="0" applyFont="1" applyFill="1" applyBorder="1" applyAlignment="1" applyProtection="1">
      <alignment horizontal="left" vertical="center"/>
      <protection locked="0"/>
    </xf>
    <xf numFmtId="0" fontId="15" fillId="3" borderId="54" xfId="0" applyFont="1" applyFill="1" applyBorder="1" applyAlignment="1" applyProtection="1">
      <alignment horizontal="left" vertical="center"/>
      <protection locked="0"/>
    </xf>
    <xf numFmtId="0" fontId="15" fillId="3" borderId="55" xfId="0" applyFont="1" applyFill="1" applyBorder="1" applyAlignment="1" applyProtection="1">
      <alignment horizontal="left" vertical="center"/>
      <protection locked="0"/>
    </xf>
    <xf numFmtId="0" fontId="15" fillId="3" borderId="56" xfId="0" applyFont="1" applyFill="1" applyBorder="1" applyAlignment="1" applyProtection="1">
      <alignment horizontal="left" vertical="center"/>
      <protection locked="0"/>
    </xf>
    <xf numFmtId="0" fontId="15" fillId="3" borderId="41" xfId="0" applyFont="1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 applyProtection="1">
      <alignment horizontal="center" vertical="center"/>
      <protection locked="0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9" fillId="0" borderId="59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/>
      <protection hidden="1"/>
    </xf>
    <xf numFmtId="0" fontId="21" fillId="0" borderId="62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0" fontId="21" fillId="0" borderId="64" xfId="0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_Yield Goal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tabColor indexed="18"/>
  </sheetPr>
  <dimension ref="A1:M1064"/>
  <sheetViews>
    <sheetView workbookViewId="0">
      <pane ySplit="9" topLeftCell="A30" activePane="bottomLeft" state="frozen"/>
      <selection pane="bottomLeft" activeCell="B34" sqref="B34"/>
    </sheetView>
  </sheetViews>
  <sheetFormatPr defaultRowHeight="12.75" x14ac:dyDescent="0.2"/>
  <cols>
    <col min="1" max="1" width="15.85546875" customWidth="1"/>
    <col min="2" max="2" width="10.5703125" style="7" customWidth="1"/>
    <col min="3" max="3" width="11.5703125" style="7" customWidth="1"/>
    <col min="4" max="4" width="11.5703125" customWidth="1"/>
    <col min="5" max="5" width="20.28515625" customWidth="1"/>
    <col min="6" max="6" width="9.140625" style="7" customWidth="1"/>
    <col min="7" max="7" width="9.5703125" style="7" customWidth="1"/>
    <col min="8" max="8" width="9.140625" style="7" customWidth="1"/>
    <col min="9" max="10" width="11.85546875" style="7" customWidth="1"/>
    <col min="11" max="13" width="9.140625" style="7" customWidth="1"/>
  </cols>
  <sheetData>
    <row r="1" spans="1:12" ht="18" x14ac:dyDescent="0.25">
      <c r="A1" s="178" t="s">
        <v>98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3" spans="1:12" x14ac:dyDescent="0.2">
      <c r="A3" s="135" t="s">
        <v>99</v>
      </c>
    </row>
    <row r="4" spans="1:12" x14ac:dyDescent="0.2">
      <c r="A4" t="s">
        <v>100</v>
      </c>
    </row>
    <row r="5" spans="1:12" x14ac:dyDescent="0.2">
      <c r="A5" t="s">
        <v>101</v>
      </c>
    </row>
    <row r="7" spans="1:12" ht="18" x14ac:dyDescent="0.25">
      <c r="G7" s="179" t="s">
        <v>102</v>
      </c>
      <c r="H7" s="179"/>
      <c r="I7" s="179"/>
      <c r="J7" s="179"/>
      <c r="K7" s="179"/>
      <c r="L7" s="179"/>
    </row>
    <row r="8" spans="1:12" ht="19.5" customHeight="1" x14ac:dyDescent="0.25">
      <c r="A8" s="177" t="s">
        <v>103</v>
      </c>
      <c r="B8" s="177" t="s">
        <v>104</v>
      </c>
      <c r="C8" s="181" t="s">
        <v>316</v>
      </c>
      <c r="D8" s="136"/>
      <c r="E8" s="180" t="s">
        <v>105</v>
      </c>
      <c r="F8" s="180" t="s">
        <v>106</v>
      </c>
      <c r="G8" s="180" t="s">
        <v>107</v>
      </c>
      <c r="H8" s="180" t="s">
        <v>108</v>
      </c>
      <c r="I8" s="180" t="s">
        <v>109</v>
      </c>
      <c r="J8" s="180" t="s">
        <v>110</v>
      </c>
      <c r="K8" s="180" t="s">
        <v>111</v>
      </c>
      <c r="L8" s="180" t="s">
        <v>112</v>
      </c>
    </row>
    <row r="9" spans="1:12" ht="25.5" customHeight="1" x14ac:dyDescent="0.25">
      <c r="A9" s="177"/>
      <c r="B9" s="177"/>
      <c r="C9" s="182"/>
      <c r="D9" s="137"/>
      <c r="E9" s="180"/>
      <c r="F9" s="180"/>
      <c r="G9" s="180"/>
      <c r="H9" s="180"/>
      <c r="I9" s="180"/>
      <c r="J9" s="180"/>
      <c r="K9" s="180"/>
      <c r="L9" s="180"/>
    </row>
    <row r="10" spans="1:12" ht="12.75" customHeight="1" x14ac:dyDescent="0.2">
      <c r="A10" s="138" t="s">
        <v>113</v>
      </c>
      <c r="B10" s="139" t="s">
        <v>314</v>
      </c>
      <c r="C10" s="170">
        <v>6.8</v>
      </c>
      <c r="E10" s="138" t="s">
        <v>49</v>
      </c>
      <c r="F10" s="139" t="s">
        <v>114</v>
      </c>
      <c r="G10" s="140" t="s">
        <v>115</v>
      </c>
      <c r="H10" s="140" t="s">
        <v>116</v>
      </c>
      <c r="I10" s="140" t="s">
        <v>117</v>
      </c>
      <c r="J10" s="140" t="s">
        <v>118</v>
      </c>
      <c r="K10" s="140" t="s">
        <v>117</v>
      </c>
      <c r="L10" s="140" t="s">
        <v>119</v>
      </c>
    </row>
    <row r="11" spans="1:12" ht="12.75" customHeight="1" x14ac:dyDescent="0.2">
      <c r="A11" s="141" t="s">
        <v>120</v>
      </c>
      <c r="B11" s="139" t="s">
        <v>314</v>
      </c>
      <c r="C11" s="170">
        <v>6.8</v>
      </c>
      <c r="E11" s="141" t="s">
        <v>121</v>
      </c>
      <c r="F11" s="142" t="s">
        <v>114</v>
      </c>
      <c r="G11" s="143" t="s">
        <v>116</v>
      </c>
      <c r="H11" s="143" t="s">
        <v>122</v>
      </c>
      <c r="I11" s="143" t="s">
        <v>116</v>
      </c>
      <c r="J11" s="143" t="s">
        <v>122</v>
      </c>
      <c r="K11" s="143" t="s">
        <v>116</v>
      </c>
      <c r="L11" s="143" t="s">
        <v>122</v>
      </c>
    </row>
    <row r="12" spans="1:12" ht="12.75" customHeight="1" x14ac:dyDescent="0.2">
      <c r="A12" s="141" t="s">
        <v>123</v>
      </c>
      <c r="B12" s="142" t="s">
        <v>315</v>
      </c>
      <c r="C12" s="170">
        <v>6</v>
      </c>
      <c r="E12" s="141" t="s">
        <v>45</v>
      </c>
      <c r="F12" s="142" t="s">
        <v>114</v>
      </c>
      <c r="G12" s="143" t="s">
        <v>118</v>
      </c>
      <c r="H12" s="143" t="s">
        <v>124</v>
      </c>
      <c r="I12" s="143" t="s">
        <v>119</v>
      </c>
      <c r="J12" s="143" t="s">
        <v>116</v>
      </c>
      <c r="K12" s="143" t="s">
        <v>119</v>
      </c>
      <c r="L12" s="143" t="s">
        <v>116</v>
      </c>
    </row>
    <row r="13" spans="1:12" ht="12.75" customHeight="1" x14ac:dyDescent="0.2">
      <c r="A13" s="141" t="s">
        <v>125</v>
      </c>
      <c r="B13" s="142" t="s">
        <v>126</v>
      </c>
      <c r="C13" s="170">
        <v>6</v>
      </c>
      <c r="E13" s="141" t="s">
        <v>127</v>
      </c>
      <c r="F13" s="142" t="s">
        <v>114</v>
      </c>
      <c r="G13" s="143" t="s">
        <v>116</v>
      </c>
      <c r="H13" s="143" t="s">
        <v>128</v>
      </c>
      <c r="I13" s="143" t="s">
        <v>116</v>
      </c>
      <c r="J13" s="143" t="s">
        <v>128</v>
      </c>
      <c r="K13" s="143" t="s">
        <v>116</v>
      </c>
      <c r="L13" s="143" t="s">
        <v>128</v>
      </c>
    </row>
    <row r="14" spans="1:12" ht="12.75" customHeight="1" x14ac:dyDescent="0.2">
      <c r="A14" s="141" t="s">
        <v>129</v>
      </c>
      <c r="B14" s="142" t="s">
        <v>126</v>
      </c>
      <c r="C14" s="170">
        <v>6</v>
      </c>
      <c r="E14" s="141" t="s">
        <v>56</v>
      </c>
      <c r="F14" s="142" t="s">
        <v>114</v>
      </c>
      <c r="G14" s="143" t="s">
        <v>117</v>
      </c>
      <c r="H14" s="143" t="s">
        <v>118</v>
      </c>
      <c r="I14" s="143" t="s">
        <v>117</v>
      </c>
      <c r="J14" s="143" t="s">
        <v>119</v>
      </c>
      <c r="K14" s="143" t="s">
        <v>117</v>
      </c>
      <c r="L14" s="143" t="s">
        <v>119</v>
      </c>
    </row>
    <row r="15" spans="1:12" ht="12.75" customHeight="1" x14ac:dyDescent="0.2">
      <c r="A15" s="141" t="s">
        <v>130</v>
      </c>
      <c r="B15" s="139" t="s">
        <v>314</v>
      </c>
      <c r="C15" s="170">
        <v>6.8</v>
      </c>
      <c r="E15" s="141" t="s">
        <v>131</v>
      </c>
      <c r="F15" s="142" t="s">
        <v>114</v>
      </c>
      <c r="G15" s="143" t="s">
        <v>115</v>
      </c>
      <c r="H15" s="143" t="s">
        <v>116</v>
      </c>
      <c r="I15" s="143" t="s">
        <v>115</v>
      </c>
      <c r="J15" s="143" t="s">
        <v>116</v>
      </c>
      <c r="K15" s="143" t="s">
        <v>115</v>
      </c>
      <c r="L15" s="143" t="s">
        <v>116</v>
      </c>
    </row>
    <row r="16" spans="1:12" ht="12.75" customHeight="1" x14ac:dyDescent="0.2">
      <c r="A16" s="141" t="s">
        <v>132</v>
      </c>
      <c r="B16" s="142" t="s">
        <v>315</v>
      </c>
      <c r="C16" s="170">
        <v>6</v>
      </c>
      <c r="E16" s="141" t="s">
        <v>133</v>
      </c>
      <c r="F16" s="142" t="s">
        <v>114</v>
      </c>
      <c r="G16" s="143" t="s">
        <v>115</v>
      </c>
      <c r="H16" s="143" t="s">
        <v>116</v>
      </c>
      <c r="I16" s="143" t="s">
        <v>117</v>
      </c>
      <c r="J16" s="143" t="s">
        <v>118</v>
      </c>
      <c r="K16" s="143" t="s">
        <v>117</v>
      </c>
      <c r="L16" s="143" t="s">
        <v>119</v>
      </c>
    </row>
    <row r="17" spans="1:12" ht="12.75" customHeight="1" x14ac:dyDescent="0.2">
      <c r="A17" s="141" t="s">
        <v>134</v>
      </c>
      <c r="B17" s="139" t="s">
        <v>314</v>
      </c>
      <c r="C17" s="170">
        <v>6.8</v>
      </c>
      <c r="E17" s="141" t="s">
        <v>135</v>
      </c>
      <c r="F17" s="142" t="s">
        <v>114</v>
      </c>
      <c r="G17" s="143" t="s">
        <v>116</v>
      </c>
      <c r="H17" s="143" t="s">
        <v>122</v>
      </c>
      <c r="I17" s="143" t="s">
        <v>116</v>
      </c>
      <c r="J17" s="143" t="s">
        <v>122</v>
      </c>
      <c r="K17" s="143" t="s">
        <v>116</v>
      </c>
      <c r="L17" s="143" t="s">
        <v>122</v>
      </c>
    </row>
    <row r="18" spans="1:12" ht="12.75" customHeight="1" x14ac:dyDescent="0.2">
      <c r="A18" s="141" t="s">
        <v>136</v>
      </c>
      <c r="B18" s="139" t="s">
        <v>314</v>
      </c>
      <c r="C18" s="170">
        <v>6.8</v>
      </c>
      <c r="E18" s="141" t="s">
        <v>30</v>
      </c>
      <c r="F18" s="142" t="s">
        <v>137</v>
      </c>
      <c r="G18" s="143" t="s">
        <v>138</v>
      </c>
      <c r="H18" s="143" t="s">
        <v>139</v>
      </c>
      <c r="I18" s="143" t="s">
        <v>140</v>
      </c>
      <c r="J18" s="143" t="s">
        <v>138</v>
      </c>
      <c r="K18" s="143" t="s">
        <v>140</v>
      </c>
      <c r="L18" s="143" t="s">
        <v>138</v>
      </c>
    </row>
    <row r="19" spans="1:12" ht="12.75" customHeight="1" x14ac:dyDescent="0.2">
      <c r="A19" s="141" t="s">
        <v>141</v>
      </c>
      <c r="B19" s="139" t="s">
        <v>314</v>
      </c>
      <c r="C19" s="170">
        <v>6.8</v>
      </c>
      <c r="E19" s="141" t="s">
        <v>142</v>
      </c>
      <c r="F19" s="142" t="s">
        <v>137</v>
      </c>
      <c r="G19" s="143" t="s">
        <v>143</v>
      </c>
      <c r="H19" s="143" t="s">
        <v>144</v>
      </c>
      <c r="I19" s="143" t="s">
        <v>143</v>
      </c>
      <c r="J19" s="143" t="s">
        <v>144</v>
      </c>
      <c r="K19" s="143" t="s">
        <v>143</v>
      </c>
      <c r="L19" s="143" t="s">
        <v>144</v>
      </c>
    </row>
    <row r="20" spans="1:12" ht="12.75" customHeight="1" x14ac:dyDescent="0.2">
      <c r="A20" s="141" t="s">
        <v>145</v>
      </c>
      <c r="B20" s="139" t="s">
        <v>314</v>
      </c>
      <c r="C20" s="170">
        <v>6.8</v>
      </c>
      <c r="E20" s="141" t="s">
        <v>44</v>
      </c>
      <c r="F20" s="142" t="s">
        <v>114</v>
      </c>
      <c r="G20" s="143" t="s">
        <v>146</v>
      </c>
      <c r="H20" s="143" t="s">
        <v>119</v>
      </c>
      <c r="I20" s="143" t="s">
        <v>117</v>
      </c>
      <c r="J20" s="143" t="s">
        <v>119</v>
      </c>
      <c r="K20" s="143" t="s">
        <v>146</v>
      </c>
      <c r="L20" s="143" t="s">
        <v>115</v>
      </c>
    </row>
    <row r="21" spans="1:12" ht="12.75" customHeight="1" x14ac:dyDescent="0.2">
      <c r="A21" s="141" t="s">
        <v>147</v>
      </c>
      <c r="B21" s="142" t="s">
        <v>148</v>
      </c>
      <c r="C21" s="170">
        <v>6</v>
      </c>
      <c r="E21" s="141" t="s">
        <v>149</v>
      </c>
      <c r="F21" s="142" t="s">
        <v>114</v>
      </c>
      <c r="G21" s="143" t="s">
        <v>117</v>
      </c>
      <c r="H21" s="143" t="s">
        <v>119</v>
      </c>
      <c r="I21" s="143" t="s">
        <v>117</v>
      </c>
      <c r="J21" s="143" t="s">
        <v>119</v>
      </c>
      <c r="K21" s="143" t="s">
        <v>117</v>
      </c>
      <c r="L21" s="143" t="s">
        <v>119</v>
      </c>
    </row>
    <row r="22" spans="1:12" ht="12.75" customHeight="1" x14ac:dyDescent="0.2">
      <c r="A22" s="141" t="s">
        <v>150</v>
      </c>
      <c r="B22" s="142" t="s">
        <v>148</v>
      </c>
      <c r="C22" s="170">
        <v>6</v>
      </c>
      <c r="E22" s="141" t="s">
        <v>151</v>
      </c>
      <c r="F22" s="142" t="s">
        <v>152</v>
      </c>
      <c r="G22" s="143" t="s">
        <v>138</v>
      </c>
      <c r="H22" s="143" t="s">
        <v>153</v>
      </c>
      <c r="I22" s="143" t="s">
        <v>154</v>
      </c>
      <c r="J22" s="143" t="s">
        <v>155</v>
      </c>
      <c r="K22" s="143" t="s">
        <v>156</v>
      </c>
      <c r="L22" s="143" t="s">
        <v>138</v>
      </c>
    </row>
    <row r="23" spans="1:12" ht="12.75" customHeight="1" x14ac:dyDescent="0.2">
      <c r="A23" s="141" t="s">
        <v>157</v>
      </c>
      <c r="B23" s="142" t="s">
        <v>126</v>
      </c>
      <c r="C23" s="170">
        <v>6</v>
      </c>
      <c r="E23" s="141" t="s">
        <v>158</v>
      </c>
      <c r="F23" s="142" t="s">
        <v>137</v>
      </c>
      <c r="G23" s="143" t="s">
        <v>155</v>
      </c>
      <c r="H23" s="143" t="s">
        <v>139</v>
      </c>
      <c r="I23" s="143" t="s">
        <v>155</v>
      </c>
      <c r="J23" s="143" t="s">
        <v>139</v>
      </c>
      <c r="K23" s="143" t="s">
        <v>155</v>
      </c>
      <c r="L23" s="143" t="s">
        <v>139</v>
      </c>
    </row>
    <row r="24" spans="1:12" ht="12.75" customHeight="1" x14ac:dyDescent="0.2">
      <c r="A24" s="141" t="s">
        <v>159</v>
      </c>
      <c r="B24" s="142" t="s">
        <v>126</v>
      </c>
      <c r="C24" s="170">
        <v>6</v>
      </c>
      <c r="E24" s="141" t="s">
        <v>160</v>
      </c>
      <c r="F24" s="142" t="s">
        <v>114</v>
      </c>
      <c r="G24" s="143" t="s">
        <v>117</v>
      </c>
      <c r="H24" s="143" t="s">
        <v>118</v>
      </c>
      <c r="I24" s="143" t="s">
        <v>146</v>
      </c>
      <c r="J24" s="143" t="s">
        <v>119</v>
      </c>
      <c r="K24" s="143" t="s">
        <v>146</v>
      </c>
      <c r="L24" s="143" t="s">
        <v>115</v>
      </c>
    </row>
    <row r="25" spans="1:12" ht="12.75" customHeight="1" x14ac:dyDescent="0.2">
      <c r="A25" s="141" t="s">
        <v>161</v>
      </c>
      <c r="B25" s="139" t="s">
        <v>314</v>
      </c>
      <c r="C25" s="170">
        <v>6.8</v>
      </c>
      <c r="E25" s="141" t="s">
        <v>162</v>
      </c>
      <c r="F25" s="142" t="s">
        <v>114</v>
      </c>
      <c r="G25" s="143" t="s">
        <v>117</v>
      </c>
      <c r="H25" s="143" t="s">
        <v>118</v>
      </c>
      <c r="I25" s="143" t="s">
        <v>117</v>
      </c>
      <c r="J25" s="143" t="s">
        <v>118</v>
      </c>
      <c r="K25" s="143" t="s">
        <v>117</v>
      </c>
      <c r="L25" s="143" t="s">
        <v>118</v>
      </c>
    </row>
    <row r="26" spans="1:12" ht="12.75" customHeight="1" x14ac:dyDescent="0.2">
      <c r="A26" s="141" t="s">
        <v>163</v>
      </c>
      <c r="B26" s="142" t="s">
        <v>148</v>
      </c>
      <c r="C26" s="170">
        <v>6</v>
      </c>
      <c r="E26" s="141" t="s">
        <v>164</v>
      </c>
      <c r="F26" s="142" t="s">
        <v>114</v>
      </c>
      <c r="G26" s="143" t="s">
        <v>117</v>
      </c>
      <c r="H26" s="143" t="s">
        <v>119</v>
      </c>
      <c r="I26" s="143" t="s">
        <v>117</v>
      </c>
      <c r="J26" s="143" t="s">
        <v>119</v>
      </c>
      <c r="K26" s="143" t="s">
        <v>117</v>
      </c>
      <c r="L26" s="143" t="s">
        <v>115</v>
      </c>
    </row>
    <row r="27" spans="1:12" ht="12.75" customHeight="1" x14ac:dyDescent="0.2">
      <c r="A27" s="141" t="s">
        <v>165</v>
      </c>
      <c r="B27" s="139" t="s">
        <v>314</v>
      </c>
      <c r="C27" s="170">
        <v>6.8</v>
      </c>
      <c r="E27" s="141" t="s">
        <v>166</v>
      </c>
      <c r="F27" s="142" t="s">
        <v>114</v>
      </c>
      <c r="G27" s="143" t="s">
        <v>117</v>
      </c>
      <c r="H27" s="143" t="s">
        <v>119</v>
      </c>
      <c r="I27" s="143" t="s">
        <v>117</v>
      </c>
      <c r="J27" s="143" t="s">
        <v>119</v>
      </c>
      <c r="K27" s="143" t="s">
        <v>117</v>
      </c>
      <c r="L27" s="143" t="s">
        <v>119</v>
      </c>
    </row>
    <row r="28" spans="1:12" ht="12.75" customHeight="1" x14ac:dyDescent="0.2">
      <c r="A28" s="141" t="s">
        <v>167</v>
      </c>
      <c r="B28" s="139" t="s">
        <v>314</v>
      </c>
      <c r="C28" s="170">
        <v>6.8</v>
      </c>
      <c r="E28" s="141" t="s">
        <v>168</v>
      </c>
      <c r="F28" s="142" t="s">
        <v>114</v>
      </c>
      <c r="G28" s="143" t="s">
        <v>146</v>
      </c>
      <c r="H28" s="143" t="s">
        <v>115</v>
      </c>
      <c r="I28" s="143" t="s">
        <v>146</v>
      </c>
      <c r="J28" s="143" t="s">
        <v>115</v>
      </c>
      <c r="K28" s="143" t="s">
        <v>146</v>
      </c>
      <c r="L28" s="143" t="s">
        <v>117</v>
      </c>
    </row>
    <row r="29" spans="1:12" ht="12.75" customHeight="1" x14ac:dyDescent="0.2">
      <c r="A29" s="141" t="s">
        <v>169</v>
      </c>
      <c r="B29" s="142" t="s">
        <v>148</v>
      </c>
      <c r="C29" s="170">
        <v>6</v>
      </c>
      <c r="E29" s="141" t="s">
        <v>170</v>
      </c>
      <c r="F29" s="142" t="s">
        <v>114</v>
      </c>
      <c r="G29" s="143" t="s">
        <v>117</v>
      </c>
      <c r="H29" s="143" t="s">
        <v>119</v>
      </c>
      <c r="I29" s="143" t="s">
        <v>117</v>
      </c>
      <c r="J29" s="143" t="s">
        <v>119</v>
      </c>
      <c r="K29" s="143" t="s">
        <v>117</v>
      </c>
      <c r="L29" s="143" t="s">
        <v>119</v>
      </c>
    </row>
    <row r="30" spans="1:12" ht="12.75" customHeight="1" x14ac:dyDescent="0.2">
      <c r="A30" s="141" t="s">
        <v>171</v>
      </c>
      <c r="B30" s="142" t="s">
        <v>126</v>
      </c>
      <c r="C30" s="170">
        <v>6</v>
      </c>
      <c r="E30" s="141" t="s">
        <v>172</v>
      </c>
      <c r="F30" s="142" t="s">
        <v>114</v>
      </c>
      <c r="G30" s="143" t="s">
        <v>146</v>
      </c>
      <c r="H30" s="143" t="s">
        <v>115</v>
      </c>
      <c r="I30" s="143" t="s">
        <v>146</v>
      </c>
      <c r="J30" s="143" t="s">
        <v>115</v>
      </c>
      <c r="K30" s="143" t="s">
        <v>146</v>
      </c>
      <c r="L30" s="143" t="s">
        <v>117</v>
      </c>
    </row>
    <row r="31" spans="1:12" ht="12.75" customHeight="1" x14ac:dyDescent="0.2">
      <c r="A31" s="141" t="s">
        <v>173</v>
      </c>
      <c r="B31" s="142" t="s">
        <v>315</v>
      </c>
      <c r="C31" s="170">
        <v>6</v>
      </c>
      <c r="E31" s="141" t="s">
        <v>174</v>
      </c>
      <c r="F31" s="142" t="s">
        <v>114</v>
      </c>
      <c r="G31" s="143" t="s">
        <v>146</v>
      </c>
      <c r="H31" s="143" t="s">
        <v>115</v>
      </c>
      <c r="I31" s="143" t="s">
        <v>146</v>
      </c>
      <c r="J31" s="143" t="s">
        <v>115</v>
      </c>
      <c r="K31" s="143" t="s">
        <v>146</v>
      </c>
      <c r="L31" s="143" t="s">
        <v>115</v>
      </c>
    </row>
    <row r="32" spans="1:12" ht="12.75" customHeight="1" x14ac:dyDescent="0.2">
      <c r="A32" s="141" t="s">
        <v>175</v>
      </c>
      <c r="B32" s="142" t="s">
        <v>315</v>
      </c>
      <c r="C32" s="170">
        <v>6</v>
      </c>
      <c r="E32" s="141" t="s">
        <v>43</v>
      </c>
      <c r="F32" s="142" t="s">
        <v>137</v>
      </c>
      <c r="G32" s="143" t="s">
        <v>154</v>
      </c>
      <c r="H32" s="143" t="s">
        <v>143</v>
      </c>
      <c r="I32" s="143" t="s">
        <v>154</v>
      </c>
      <c r="J32" s="143" t="s">
        <v>176</v>
      </c>
      <c r="K32" s="143" t="s">
        <v>156</v>
      </c>
      <c r="L32" s="143" t="s">
        <v>177</v>
      </c>
    </row>
    <row r="33" spans="1:12" ht="12.75" customHeight="1" x14ac:dyDescent="0.2">
      <c r="A33" s="141" t="s">
        <v>178</v>
      </c>
      <c r="B33" s="142" t="s">
        <v>148</v>
      </c>
      <c r="C33" s="170">
        <v>6</v>
      </c>
      <c r="E33" s="141" t="s">
        <v>179</v>
      </c>
      <c r="F33" s="142" t="s">
        <v>137</v>
      </c>
      <c r="G33" s="143" t="s">
        <v>138</v>
      </c>
      <c r="H33" s="143" t="s">
        <v>139</v>
      </c>
      <c r="I33" s="143" t="s">
        <v>138</v>
      </c>
      <c r="J33" s="143" t="s">
        <v>139</v>
      </c>
      <c r="K33" s="143" t="s">
        <v>138</v>
      </c>
      <c r="L33" s="143" t="s">
        <v>139</v>
      </c>
    </row>
    <row r="34" spans="1:12" ht="12.75" customHeight="1" x14ac:dyDescent="0.2">
      <c r="A34" s="141" t="s">
        <v>319</v>
      </c>
      <c r="B34" s="139" t="s">
        <v>314</v>
      </c>
      <c r="C34" s="170">
        <v>6.8</v>
      </c>
      <c r="E34" s="141" t="s">
        <v>40</v>
      </c>
      <c r="F34" s="142" t="s">
        <v>114</v>
      </c>
      <c r="G34" s="143" t="s">
        <v>122</v>
      </c>
      <c r="H34" s="143" t="s">
        <v>180</v>
      </c>
      <c r="I34" s="143" t="s">
        <v>128</v>
      </c>
      <c r="J34" s="143" t="s">
        <v>181</v>
      </c>
      <c r="K34" s="143" t="s">
        <v>116</v>
      </c>
      <c r="L34" s="143" t="s">
        <v>182</v>
      </c>
    </row>
    <row r="35" spans="1:12" ht="12.75" customHeight="1" x14ac:dyDescent="0.2">
      <c r="A35" s="141" t="s">
        <v>183</v>
      </c>
      <c r="B35" s="142" t="s">
        <v>148</v>
      </c>
      <c r="C35" s="170">
        <v>6</v>
      </c>
      <c r="E35" s="141" t="s">
        <v>184</v>
      </c>
      <c r="F35" s="142" t="s">
        <v>114</v>
      </c>
      <c r="G35" s="143" t="s">
        <v>185</v>
      </c>
      <c r="H35" s="143" t="s">
        <v>186</v>
      </c>
      <c r="I35" s="143" t="s">
        <v>185</v>
      </c>
      <c r="J35" s="143" t="s">
        <v>186</v>
      </c>
      <c r="K35" s="143" t="s">
        <v>185</v>
      </c>
      <c r="L35" s="143" t="s">
        <v>186</v>
      </c>
    </row>
    <row r="36" spans="1:12" ht="12.75" customHeight="1" x14ac:dyDescent="0.2">
      <c r="A36" s="141" t="s">
        <v>187</v>
      </c>
      <c r="B36" s="142" t="s">
        <v>126</v>
      </c>
      <c r="C36" s="170">
        <v>6</v>
      </c>
      <c r="E36" s="141" t="s">
        <v>188</v>
      </c>
      <c r="F36" s="142" t="s">
        <v>114</v>
      </c>
      <c r="G36" s="143" t="s">
        <v>182</v>
      </c>
      <c r="H36" s="143" t="s">
        <v>180</v>
      </c>
      <c r="I36" s="143" t="s">
        <v>128</v>
      </c>
      <c r="J36" s="143" t="s">
        <v>181</v>
      </c>
      <c r="K36" s="143" t="s">
        <v>116</v>
      </c>
      <c r="L36" s="143" t="s">
        <v>182</v>
      </c>
    </row>
    <row r="37" spans="1:12" ht="12.75" customHeight="1" x14ac:dyDescent="0.2">
      <c r="A37" s="141" t="s">
        <v>189</v>
      </c>
      <c r="B37" s="142" t="s">
        <v>148</v>
      </c>
      <c r="C37" s="170">
        <v>6</v>
      </c>
      <c r="E37" s="141" t="s">
        <v>190</v>
      </c>
      <c r="F37" s="142" t="s">
        <v>114</v>
      </c>
      <c r="G37" s="143" t="s">
        <v>191</v>
      </c>
      <c r="H37" s="143" t="s">
        <v>180</v>
      </c>
      <c r="I37" s="143" t="s">
        <v>191</v>
      </c>
      <c r="J37" s="143" t="s">
        <v>180</v>
      </c>
      <c r="K37" s="143" t="s">
        <v>191</v>
      </c>
      <c r="L37" s="143" t="s">
        <v>180</v>
      </c>
    </row>
    <row r="38" spans="1:12" ht="12.75" customHeight="1" x14ac:dyDescent="0.2">
      <c r="A38" s="141" t="s">
        <v>192</v>
      </c>
      <c r="B38" s="142" t="s">
        <v>148</v>
      </c>
      <c r="C38" s="170">
        <v>6</v>
      </c>
      <c r="E38" s="141" t="s">
        <v>32</v>
      </c>
      <c r="F38" s="142" t="s">
        <v>137</v>
      </c>
      <c r="G38" s="143" t="s">
        <v>186</v>
      </c>
      <c r="H38" s="143" t="s">
        <v>177</v>
      </c>
      <c r="I38" s="143" t="s">
        <v>185</v>
      </c>
      <c r="J38" s="143" t="s">
        <v>156</v>
      </c>
      <c r="K38" s="143" t="s">
        <v>185</v>
      </c>
      <c r="L38" s="143" t="s">
        <v>156</v>
      </c>
    </row>
    <row r="39" spans="1:12" ht="12.75" customHeight="1" x14ac:dyDescent="0.2">
      <c r="A39" s="141" t="s">
        <v>193</v>
      </c>
      <c r="B39" s="139" t="s">
        <v>314</v>
      </c>
      <c r="C39" s="170">
        <v>6.8</v>
      </c>
      <c r="E39" s="141" t="s">
        <v>194</v>
      </c>
      <c r="F39" s="142" t="s">
        <v>137</v>
      </c>
      <c r="G39" s="143" t="s">
        <v>156</v>
      </c>
      <c r="H39" s="143" t="s">
        <v>177</v>
      </c>
      <c r="I39" s="143" t="s">
        <v>156</v>
      </c>
      <c r="J39" s="143" t="s">
        <v>177</v>
      </c>
      <c r="K39" s="143" t="s">
        <v>156</v>
      </c>
      <c r="L39" s="143" t="s">
        <v>177</v>
      </c>
    </row>
    <row r="40" spans="1:12" ht="12.75" customHeight="1" x14ac:dyDescent="0.2">
      <c r="A40" s="141" t="s">
        <v>195</v>
      </c>
      <c r="B40" s="142" t="s">
        <v>315</v>
      </c>
      <c r="C40" s="170">
        <v>6</v>
      </c>
      <c r="E40" s="141" t="s">
        <v>196</v>
      </c>
      <c r="F40" s="142" t="s">
        <v>114</v>
      </c>
      <c r="G40" s="143" t="s">
        <v>197</v>
      </c>
      <c r="H40" s="143" t="s">
        <v>198</v>
      </c>
      <c r="I40" s="143" t="s">
        <v>197</v>
      </c>
      <c r="J40" s="143" t="s">
        <v>198</v>
      </c>
      <c r="K40" s="143" t="s">
        <v>197</v>
      </c>
      <c r="L40" s="143" t="s">
        <v>146</v>
      </c>
    </row>
    <row r="41" spans="1:12" ht="12.75" customHeight="1" x14ac:dyDescent="0.2">
      <c r="A41" s="141" t="s">
        <v>199</v>
      </c>
      <c r="B41" s="142" t="s">
        <v>148</v>
      </c>
      <c r="C41" s="170">
        <v>6</v>
      </c>
      <c r="E41" s="141" t="s">
        <v>200</v>
      </c>
      <c r="F41" s="142" t="s">
        <v>114</v>
      </c>
      <c r="G41" s="143" t="s">
        <v>146</v>
      </c>
      <c r="H41" s="143" t="s">
        <v>117</v>
      </c>
      <c r="I41" s="143" t="s">
        <v>146</v>
      </c>
      <c r="J41" s="143" t="s">
        <v>117</v>
      </c>
      <c r="K41" s="143" t="s">
        <v>146</v>
      </c>
      <c r="L41" s="143" t="s">
        <v>117</v>
      </c>
    </row>
    <row r="42" spans="1:12" ht="12.75" customHeight="1" x14ac:dyDescent="0.2">
      <c r="A42" s="141" t="s">
        <v>201</v>
      </c>
      <c r="B42" s="142" t="s">
        <v>148</v>
      </c>
      <c r="C42" s="170">
        <v>6</v>
      </c>
      <c r="E42" s="141" t="s">
        <v>38</v>
      </c>
      <c r="F42" s="142" t="s">
        <v>137</v>
      </c>
      <c r="G42" s="143" t="s">
        <v>156</v>
      </c>
      <c r="H42" s="143" t="s">
        <v>177</v>
      </c>
      <c r="I42" s="143" t="s">
        <v>186</v>
      </c>
      <c r="J42" s="143" t="s">
        <v>177</v>
      </c>
      <c r="K42" s="143" t="s">
        <v>202</v>
      </c>
      <c r="L42" s="143" t="s">
        <v>203</v>
      </c>
    </row>
    <row r="43" spans="1:12" ht="12.75" customHeight="1" x14ac:dyDescent="0.2">
      <c r="A43" s="141" t="s">
        <v>204</v>
      </c>
      <c r="B43" s="142" t="s">
        <v>148</v>
      </c>
      <c r="C43" s="170">
        <v>6</v>
      </c>
      <c r="E43" s="141" t="s">
        <v>205</v>
      </c>
      <c r="F43" s="142" t="s">
        <v>137</v>
      </c>
      <c r="G43" s="143" t="s">
        <v>140</v>
      </c>
      <c r="H43" s="143" t="s">
        <v>155</v>
      </c>
      <c r="I43" s="143" t="s">
        <v>140</v>
      </c>
      <c r="J43" s="143" t="s">
        <v>155</v>
      </c>
      <c r="K43" s="143" t="s">
        <v>140</v>
      </c>
      <c r="L43" s="143" t="s">
        <v>155</v>
      </c>
    </row>
    <row r="44" spans="1:12" ht="12.75" customHeight="1" x14ac:dyDescent="0.2">
      <c r="A44" s="141" t="s">
        <v>206</v>
      </c>
      <c r="B44" s="142" t="s">
        <v>148</v>
      </c>
      <c r="C44" s="170">
        <v>6</v>
      </c>
      <c r="G44" s="144"/>
      <c r="H44" s="144"/>
      <c r="I44" s="144"/>
      <c r="J44" s="144"/>
      <c r="K44" s="144"/>
      <c r="L44" s="144"/>
    </row>
    <row r="45" spans="1:12" ht="12.75" customHeight="1" x14ac:dyDescent="0.2">
      <c r="A45" s="141" t="s">
        <v>207</v>
      </c>
      <c r="B45" s="142" t="s">
        <v>148</v>
      </c>
      <c r="C45" s="170">
        <v>6</v>
      </c>
      <c r="G45" s="144"/>
      <c r="H45" s="144"/>
      <c r="I45" s="144"/>
      <c r="J45" s="144"/>
      <c r="K45" s="144"/>
      <c r="L45" s="144"/>
    </row>
    <row r="46" spans="1:12" ht="12.75" customHeight="1" x14ac:dyDescent="0.2">
      <c r="A46" s="141" t="s">
        <v>208</v>
      </c>
      <c r="B46" s="139" t="s">
        <v>314</v>
      </c>
      <c r="C46" s="170">
        <v>6.8</v>
      </c>
      <c r="G46" s="144"/>
      <c r="H46" s="144"/>
      <c r="I46" s="144"/>
      <c r="J46" s="144"/>
      <c r="K46" s="144"/>
      <c r="L46" s="144"/>
    </row>
    <row r="47" spans="1:12" ht="12.75" customHeight="1" x14ac:dyDescent="0.2">
      <c r="A47" s="141" t="s">
        <v>209</v>
      </c>
      <c r="B47" s="142" t="s">
        <v>148</v>
      </c>
      <c r="C47" s="170">
        <v>6</v>
      </c>
      <c r="G47" s="144"/>
      <c r="H47" s="144"/>
      <c r="I47" s="144"/>
      <c r="J47" s="144"/>
      <c r="K47" s="144"/>
      <c r="L47" s="144"/>
    </row>
    <row r="48" spans="1:12" ht="12.75" customHeight="1" x14ac:dyDescent="0.2">
      <c r="A48" s="141" t="s">
        <v>210</v>
      </c>
      <c r="B48" s="142" t="s">
        <v>126</v>
      </c>
      <c r="C48" s="170">
        <v>6</v>
      </c>
      <c r="G48" s="144"/>
      <c r="H48" s="144"/>
      <c r="I48" s="144"/>
      <c r="J48" s="144"/>
      <c r="K48" s="144"/>
      <c r="L48" s="144"/>
    </row>
    <row r="49" spans="1:12" ht="12.75" customHeight="1" x14ac:dyDescent="0.2">
      <c r="A49" s="141" t="s">
        <v>211</v>
      </c>
      <c r="B49" s="142" t="s">
        <v>126</v>
      </c>
      <c r="C49" s="170">
        <v>6</v>
      </c>
      <c r="G49" s="144"/>
      <c r="H49" s="144"/>
      <c r="I49" s="144"/>
      <c r="J49" s="144"/>
      <c r="K49" s="144"/>
      <c r="L49" s="144"/>
    </row>
    <row r="50" spans="1:12" ht="12.75" customHeight="1" x14ac:dyDescent="0.2">
      <c r="A50" s="141" t="s">
        <v>212</v>
      </c>
      <c r="B50" s="142" t="s">
        <v>148</v>
      </c>
      <c r="C50" s="170">
        <v>6</v>
      </c>
      <c r="G50" s="144"/>
      <c r="H50" s="144"/>
      <c r="I50" s="144"/>
      <c r="J50" s="144"/>
      <c r="K50" s="144"/>
      <c r="L50" s="144"/>
    </row>
    <row r="51" spans="1:12" ht="12.75" customHeight="1" x14ac:dyDescent="0.2">
      <c r="A51" s="141" t="s">
        <v>213</v>
      </c>
      <c r="B51" s="142" t="s">
        <v>148</v>
      </c>
      <c r="C51" s="170">
        <v>6</v>
      </c>
      <c r="G51" s="144"/>
      <c r="H51" s="144"/>
      <c r="I51" s="144"/>
      <c r="J51" s="144"/>
      <c r="K51" s="144"/>
      <c r="L51" s="144"/>
    </row>
    <row r="52" spans="1:12" ht="12.75" customHeight="1" x14ac:dyDescent="0.2">
      <c r="A52" s="141" t="s">
        <v>214</v>
      </c>
      <c r="B52" s="142" t="s">
        <v>315</v>
      </c>
      <c r="C52" s="170">
        <v>6</v>
      </c>
      <c r="G52" s="144"/>
      <c r="H52" s="144"/>
      <c r="I52" s="144"/>
      <c r="J52" s="144"/>
      <c r="K52" s="144"/>
      <c r="L52" s="144"/>
    </row>
    <row r="53" spans="1:12" ht="12.75" customHeight="1" x14ac:dyDescent="0.2">
      <c r="A53" s="141" t="s">
        <v>215</v>
      </c>
      <c r="B53" s="142" t="s">
        <v>315</v>
      </c>
      <c r="C53" s="170">
        <v>6</v>
      </c>
      <c r="G53" s="144"/>
      <c r="H53" s="144"/>
      <c r="I53" s="144"/>
      <c r="J53" s="144"/>
      <c r="K53" s="144"/>
      <c r="L53" s="144"/>
    </row>
    <row r="54" spans="1:12" ht="12.75" customHeight="1" x14ac:dyDescent="0.2">
      <c r="A54" s="141" t="s">
        <v>216</v>
      </c>
      <c r="B54" s="142" t="s">
        <v>126</v>
      </c>
      <c r="C54" s="170">
        <v>6</v>
      </c>
      <c r="G54" s="144"/>
      <c r="H54" s="144"/>
      <c r="I54" s="144"/>
      <c r="J54" s="144"/>
      <c r="K54" s="144"/>
      <c r="L54" s="144"/>
    </row>
    <row r="55" spans="1:12" ht="12.75" customHeight="1" x14ac:dyDescent="0.2">
      <c r="A55" s="141" t="s">
        <v>217</v>
      </c>
      <c r="B55" s="142" t="s">
        <v>315</v>
      </c>
      <c r="C55" s="170">
        <v>6</v>
      </c>
      <c r="G55" s="144"/>
      <c r="H55" s="144"/>
      <c r="I55" s="144"/>
      <c r="J55" s="144"/>
      <c r="K55" s="144"/>
      <c r="L55" s="144"/>
    </row>
    <row r="56" spans="1:12" ht="12.75" customHeight="1" x14ac:dyDescent="0.2">
      <c r="A56" s="141" t="s">
        <v>218</v>
      </c>
      <c r="B56" s="142" t="s">
        <v>148</v>
      </c>
      <c r="C56" s="170">
        <v>6</v>
      </c>
      <c r="G56" s="144"/>
      <c r="H56" s="144"/>
      <c r="I56" s="144"/>
      <c r="J56" s="144"/>
      <c r="K56" s="144"/>
      <c r="L56" s="144"/>
    </row>
    <row r="57" spans="1:12" ht="12.75" customHeight="1" x14ac:dyDescent="0.2">
      <c r="A57" s="141" t="s">
        <v>219</v>
      </c>
      <c r="B57" s="142" t="s">
        <v>126</v>
      </c>
      <c r="C57" s="170">
        <v>6</v>
      </c>
    </row>
    <row r="58" spans="1:12" ht="12.75" customHeight="1" x14ac:dyDescent="0.2">
      <c r="A58" s="141" t="s">
        <v>220</v>
      </c>
      <c r="B58" s="142" t="s">
        <v>148</v>
      </c>
      <c r="C58" s="170">
        <v>6</v>
      </c>
    </row>
    <row r="59" spans="1:12" ht="12.75" customHeight="1" x14ac:dyDescent="0.2">
      <c r="A59" s="141" t="s">
        <v>221</v>
      </c>
      <c r="B59" s="139" t="s">
        <v>314</v>
      </c>
      <c r="C59" s="170">
        <v>6.8</v>
      </c>
    </row>
    <row r="60" spans="1:12" ht="12.75" customHeight="1" x14ac:dyDescent="0.2">
      <c r="A60" s="141" t="s">
        <v>222</v>
      </c>
      <c r="B60" s="142" t="s">
        <v>148</v>
      </c>
      <c r="C60" s="170">
        <v>6</v>
      </c>
    </row>
    <row r="61" spans="1:12" ht="12.75" customHeight="1" x14ac:dyDescent="0.2">
      <c r="A61" s="141" t="s">
        <v>223</v>
      </c>
      <c r="B61" s="142" t="s">
        <v>315</v>
      </c>
      <c r="C61" s="170">
        <v>6</v>
      </c>
    </row>
    <row r="62" spans="1:12" ht="12.75" customHeight="1" x14ac:dyDescent="0.2">
      <c r="A62" s="141" t="s">
        <v>224</v>
      </c>
      <c r="B62" s="142" t="s">
        <v>126</v>
      </c>
      <c r="C62" s="170">
        <v>6</v>
      </c>
    </row>
    <row r="63" spans="1:12" ht="12.75" customHeight="1" x14ac:dyDescent="0.2">
      <c r="A63" s="141" t="s">
        <v>225</v>
      </c>
      <c r="B63" s="139" t="s">
        <v>314</v>
      </c>
      <c r="C63" s="170">
        <v>6.8</v>
      </c>
    </row>
    <row r="64" spans="1:12" ht="12.75" customHeight="1" x14ac:dyDescent="0.2">
      <c r="A64" s="141" t="s">
        <v>226</v>
      </c>
      <c r="B64" s="142" t="s">
        <v>148</v>
      </c>
      <c r="C64" s="170">
        <v>6</v>
      </c>
    </row>
    <row r="65" spans="1:3" ht="12.75" customHeight="1" x14ac:dyDescent="0.2">
      <c r="A65" s="141" t="s">
        <v>227</v>
      </c>
      <c r="B65" s="139" t="s">
        <v>314</v>
      </c>
      <c r="C65" s="170">
        <v>6.8</v>
      </c>
    </row>
    <row r="66" spans="1:3" ht="12.75" customHeight="1" x14ac:dyDescent="0.2">
      <c r="A66" s="141" t="s">
        <v>228</v>
      </c>
      <c r="B66" s="142" t="s">
        <v>126</v>
      </c>
      <c r="C66" s="170">
        <v>6</v>
      </c>
    </row>
    <row r="67" spans="1:3" ht="12.75" customHeight="1" x14ac:dyDescent="0.2">
      <c r="A67" s="141" t="s">
        <v>229</v>
      </c>
      <c r="B67" s="142" t="s">
        <v>315</v>
      </c>
      <c r="C67" s="170">
        <v>6</v>
      </c>
    </row>
    <row r="68" spans="1:3" ht="12.75" customHeight="1" x14ac:dyDescent="0.2">
      <c r="A68" s="141" t="s">
        <v>230</v>
      </c>
      <c r="B68" s="142" t="s">
        <v>126</v>
      </c>
      <c r="C68" s="170">
        <v>6</v>
      </c>
    </row>
    <row r="69" spans="1:3" ht="12.75" customHeight="1" x14ac:dyDescent="0.2">
      <c r="A69" s="141" t="s">
        <v>231</v>
      </c>
      <c r="B69" s="142" t="s">
        <v>148</v>
      </c>
      <c r="C69" s="170">
        <v>6</v>
      </c>
    </row>
    <row r="70" spans="1:3" ht="12.75" customHeight="1" x14ac:dyDescent="0.2">
      <c r="A70" s="141" t="s">
        <v>232</v>
      </c>
      <c r="B70" s="139" t="s">
        <v>314</v>
      </c>
      <c r="C70" s="170">
        <v>6.8</v>
      </c>
    </row>
    <row r="71" spans="1:3" ht="12.75" customHeight="1" x14ac:dyDescent="0.2">
      <c r="A71" s="141" t="s">
        <v>233</v>
      </c>
      <c r="B71" s="142" t="s">
        <v>126</v>
      </c>
      <c r="C71" s="170">
        <v>6</v>
      </c>
    </row>
    <row r="72" spans="1:3" ht="12.75" customHeight="1" x14ac:dyDescent="0.2">
      <c r="A72" s="141" t="s">
        <v>234</v>
      </c>
      <c r="B72" s="139" t="s">
        <v>314</v>
      </c>
      <c r="C72" s="170">
        <v>6.8</v>
      </c>
    </row>
    <row r="73" spans="1:3" ht="12.75" customHeight="1" x14ac:dyDescent="0.2">
      <c r="A73" s="141" t="s">
        <v>235</v>
      </c>
      <c r="B73" s="139" t="s">
        <v>314</v>
      </c>
      <c r="C73" s="170">
        <v>6.8</v>
      </c>
    </row>
    <row r="74" spans="1:3" ht="12.75" customHeight="1" x14ac:dyDescent="0.2">
      <c r="A74" s="141" t="s">
        <v>236</v>
      </c>
      <c r="B74" s="142" t="s">
        <v>148</v>
      </c>
      <c r="C74" s="170">
        <v>6</v>
      </c>
    </row>
    <row r="75" spans="1:3" ht="12.75" customHeight="1" x14ac:dyDescent="0.2">
      <c r="A75" s="141" t="s">
        <v>237</v>
      </c>
      <c r="B75" s="142" t="s">
        <v>315</v>
      </c>
      <c r="C75" s="170">
        <v>6</v>
      </c>
    </row>
    <row r="76" spans="1:3" ht="12.75" customHeight="1" x14ac:dyDescent="0.2">
      <c r="A76" s="141" t="s">
        <v>238</v>
      </c>
      <c r="B76" s="139" t="s">
        <v>314</v>
      </c>
      <c r="C76" s="170">
        <v>6.8</v>
      </c>
    </row>
    <row r="77" spans="1:3" ht="12.75" customHeight="1" x14ac:dyDescent="0.2">
      <c r="A77" s="141" t="s">
        <v>239</v>
      </c>
      <c r="B77" s="142" t="s">
        <v>148</v>
      </c>
      <c r="C77" s="170">
        <v>6</v>
      </c>
    </row>
    <row r="78" spans="1:3" ht="12.75" customHeight="1" x14ac:dyDescent="0.2">
      <c r="A78" s="141" t="s">
        <v>240</v>
      </c>
      <c r="B78" s="142" t="s">
        <v>148</v>
      </c>
      <c r="C78" s="170">
        <v>6</v>
      </c>
    </row>
    <row r="79" spans="1:3" ht="12.75" customHeight="1" x14ac:dyDescent="0.2">
      <c r="A79" s="141" t="s">
        <v>241</v>
      </c>
      <c r="B79" s="139" t="s">
        <v>314</v>
      </c>
      <c r="C79" s="170">
        <v>6.8</v>
      </c>
    </row>
    <row r="80" spans="1:3" ht="12.75" customHeight="1" x14ac:dyDescent="0.2">
      <c r="A80" s="141" t="s">
        <v>242</v>
      </c>
      <c r="B80" s="142" t="s">
        <v>126</v>
      </c>
      <c r="C80" s="170">
        <v>6</v>
      </c>
    </row>
    <row r="81" spans="1:3" ht="12.75" customHeight="1" x14ac:dyDescent="0.2">
      <c r="A81" s="141" t="s">
        <v>243</v>
      </c>
      <c r="B81" s="142" t="s">
        <v>126</v>
      </c>
      <c r="C81" s="170">
        <v>6</v>
      </c>
    </row>
    <row r="82" spans="1:3" ht="12.75" customHeight="1" x14ac:dyDescent="0.2">
      <c r="A82" s="141" t="s">
        <v>244</v>
      </c>
      <c r="B82" s="142" t="s">
        <v>148</v>
      </c>
      <c r="C82" s="170">
        <v>6</v>
      </c>
    </row>
    <row r="83" spans="1:3" ht="12.75" customHeight="1" x14ac:dyDescent="0.2">
      <c r="A83" s="141" t="s">
        <v>245</v>
      </c>
      <c r="B83" s="142" t="s">
        <v>148</v>
      </c>
      <c r="C83" s="170">
        <v>6</v>
      </c>
    </row>
    <row r="84" spans="1:3" ht="12.75" customHeight="1" x14ac:dyDescent="0.2">
      <c r="A84" s="141" t="s">
        <v>246</v>
      </c>
      <c r="B84" s="142" t="s">
        <v>315</v>
      </c>
      <c r="C84" s="170">
        <v>6</v>
      </c>
    </row>
    <row r="85" spans="1:3" ht="12.75" customHeight="1" x14ac:dyDescent="0.2">
      <c r="A85" s="141" t="s">
        <v>247</v>
      </c>
      <c r="B85" s="142" t="s">
        <v>126</v>
      </c>
      <c r="C85" s="170">
        <v>6</v>
      </c>
    </row>
    <row r="86" spans="1:3" ht="12.75" customHeight="1" x14ac:dyDescent="0.2">
      <c r="A86" s="141" t="s">
        <v>248</v>
      </c>
      <c r="B86" s="142" t="s">
        <v>148</v>
      </c>
      <c r="C86" s="170">
        <v>6</v>
      </c>
    </row>
    <row r="87" spans="1:3" ht="12.75" customHeight="1" x14ac:dyDescent="0.2">
      <c r="A87" s="141" t="s">
        <v>249</v>
      </c>
      <c r="B87" s="142" t="s">
        <v>126</v>
      </c>
      <c r="C87" s="170">
        <v>6</v>
      </c>
    </row>
    <row r="88" spans="1:3" ht="12.75" customHeight="1" x14ac:dyDescent="0.2">
      <c r="A88" s="141" t="s">
        <v>250</v>
      </c>
      <c r="B88" s="142" t="s">
        <v>126</v>
      </c>
      <c r="C88" s="170">
        <v>6</v>
      </c>
    </row>
    <row r="89" spans="1:3" ht="12.75" customHeight="1" x14ac:dyDescent="0.2">
      <c r="A89" s="141" t="s">
        <v>251</v>
      </c>
      <c r="B89" s="142" t="s">
        <v>126</v>
      </c>
      <c r="C89" s="170">
        <v>6</v>
      </c>
    </row>
    <row r="90" spans="1:3" ht="12.75" customHeight="1" x14ac:dyDescent="0.2">
      <c r="A90" s="141" t="s">
        <v>252</v>
      </c>
      <c r="B90" s="142" t="s">
        <v>315</v>
      </c>
      <c r="C90" s="170">
        <v>6</v>
      </c>
    </row>
    <row r="91" spans="1:3" ht="12.75" customHeight="1" x14ac:dyDescent="0.2">
      <c r="A91" s="141" t="s">
        <v>253</v>
      </c>
      <c r="B91" s="142" t="s">
        <v>148</v>
      </c>
      <c r="C91" s="170">
        <v>6</v>
      </c>
    </row>
    <row r="92" spans="1:3" ht="12.75" customHeight="1" x14ac:dyDescent="0.2">
      <c r="A92" s="141" t="s">
        <v>254</v>
      </c>
      <c r="B92" s="142" t="s">
        <v>148</v>
      </c>
      <c r="C92" s="170">
        <v>6</v>
      </c>
    </row>
    <row r="93" spans="1:3" ht="12.75" customHeight="1" x14ac:dyDescent="0.2">
      <c r="A93" s="141" t="s">
        <v>255</v>
      </c>
      <c r="B93" s="142" t="s">
        <v>126</v>
      </c>
      <c r="C93" s="170">
        <v>6</v>
      </c>
    </row>
    <row r="94" spans="1:3" ht="12.75" customHeight="1" x14ac:dyDescent="0.2">
      <c r="A94" s="141" t="s">
        <v>256</v>
      </c>
      <c r="B94" s="142" t="s">
        <v>126</v>
      </c>
      <c r="C94" s="170">
        <v>6</v>
      </c>
    </row>
    <row r="95" spans="1:3" ht="12.75" customHeight="1" x14ac:dyDescent="0.2">
      <c r="A95" s="141" t="s">
        <v>257</v>
      </c>
      <c r="B95" s="142" t="s">
        <v>148</v>
      </c>
      <c r="C95" s="170">
        <v>6</v>
      </c>
    </row>
    <row r="96" spans="1:3" ht="12.75" customHeight="1" x14ac:dyDescent="0.2">
      <c r="A96" s="141" t="s">
        <v>258</v>
      </c>
      <c r="B96" s="142" t="s">
        <v>126</v>
      </c>
      <c r="C96" s="170">
        <v>6</v>
      </c>
    </row>
    <row r="97" spans="1:3" ht="12.75" customHeight="1" x14ac:dyDescent="0.2">
      <c r="A97" s="141" t="s">
        <v>259</v>
      </c>
      <c r="B97" s="142" t="s">
        <v>148</v>
      </c>
      <c r="C97" s="170">
        <v>6</v>
      </c>
    </row>
    <row r="98" spans="1:3" ht="12.75" customHeight="1" x14ac:dyDescent="0.2">
      <c r="A98" s="141" t="s">
        <v>260</v>
      </c>
      <c r="B98" s="142" t="s">
        <v>315</v>
      </c>
      <c r="C98" s="170">
        <v>6</v>
      </c>
    </row>
    <row r="99" spans="1:3" ht="12.75" customHeight="1" x14ac:dyDescent="0.2">
      <c r="A99" s="141" t="s">
        <v>261</v>
      </c>
      <c r="B99" s="142" t="s">
        <v>148</v>
      </c>
      <c r="C99" s="170">
        <v>6</v>
      </c>
    </row>
    <row r="100" spans="1:3" ht="12.75" customHeight="1" x14ac:dyDescent="0.2">
      <c r="A100" s="141" t="s">
        <v>262</v>
      </c>
      <c r="B100" s="142" t="s">
        <v>148</v>
      </c>
      <c r="C100" s="170">
        <v>6</v>
      </c>
    </row>
    <row r="101" spans="1:3" ht="12.75" customHeight="1" x14ac:dyDescent="0.2">
      <c r="A101" s="141" t="s">
        <v>263</v>
      </c>
      <c r="B101" s="142" t="s">
        <v>126</v>
      </c>
      <c r="C101" s="170">
        <v>6</v>
      </c>
    </row>
    <row r="102" spans="1:3" ht="12.75" customHeight="1" x14ac:dyDescent="0.2">
      <c r="A102" s="141" t="s">
        <v>264</v>
      </c>
      <c r="B102" s="142" t="s">
        <v>126</v>
      </c>
      <c r="C102" s="170">
        <v>6</v>
      </c>
    </row>
    <row r="103" spans="1:3" ht="12.75" customHeight="1" x14ac:dyDescent="0.2">
      <c r="A103" s="141" t="s">
        <v>265</v>
      </c>
      <c r="B103" s="142" t="s">
        <v>148</v>
      </c>
      <c r="C103" s="170">
        <v>6</v>
      </c>
    </row>
    <row r="104" spans="1:3" ht="12.75" customHeight="1" x14ac:dyDescent="0.2">
      <c r="A104" s="141" t="s">
        <v>266</v>
      </c>
      <c r="B104" s="142" t="s">
        <v>148</v>
      </c>
      <c r="C104" s="170">
        <v>6</v>
      </c>
    </row>
    <row r="105" spans="1:3" ht="12.75" customHeight="1" x14ac:dyDescent="0.2">
      <c r="A105" s="141" t="s">
        <v>267</v>
      </c>
      <c r="B105" s="142" t="s">
        <v>126</v>
      </c>
      <c r="C105" s="170">
        <v>6</v>
      </c>
    </row>
    <row r="106" spans="1:3" ht="12.75" customHeight="1" x14ac:dyDescent="0.2">
      <c r="A106" s="141" t="s">
        <v>268</v>
      </c>
      <c r="B106" s="142" t="s">
        <v>148</v>
      </c>
      <c r="C106" s="170">
        <v>6</v>
      </c>
    </row>
    <row r="107" spans="1:3" ht="12.75" customHeight="1" x14ac:dyDescent="0.2">
      <c r="A107" s="141" t="s">
        <v>269</v>
      </c>
      <c r="B107" s="142" t="s">
        <v>148</v>
      </c>
      <c r="C107" s="170">
        <v>6</v>
      </c>
    </row>
    <row r="108" spans="1:3" ht="12.75" customHeight="1" x14ac:dyDescent="0.2">
      <c r="A108" s="141" t="s">
        <v>270</v>
      </c>
      <c r="B108" s="139" t="s">
        <v>314</v>
      </c>
      <c r="C108" s="170">
        <v>6.8</v>
      </c>
    </row>
    <row r="109" spans="1:3" ht="12.75" customHeight="1" x14ac:dyDescent="0.2">
      <c r="A109" s="141" t="s">
        <v>271</v>
      </c>
      <c r="B109" s="142" t="s">
        <v>148</v>
      </c>
      <c r="C109" s="170">
        <v>6</v>
      </c>
    </row>
    <row r="110" spans="1:3" ht="12.75" customHeight="1" x14ac:dyDescent="0.2">
      <c r="A110" s="141" t="s">
        <v>272</v>
      </c>
      <c r="B110" s="142" t="s">
        <v>126</v>
      </c>
      <c r="C110" s="170">
        <v>6</v>
      </c>
    </row>
    <row r="111" spans="1:3" ht="12.75" customHeight="1" x14ac:dyDescent="0.2">
      <c r="A111" s="141" t="s">
        <v>273</v>
      </c>
      <c r="B111" s="142" t="s">
        <v>148</v>
      </c>
      <c r="C111" s="170">
        <v>6</v>
      </c>
    </row>
    <row r="112" spans="1:3" ht="12.75" customHeight="1" x14ac:dyDescent="0.2">
      <c r="A112" s="141" t="s">
        <v>274</v>
      </c>
      <c r="B112" s="139" t="s">
        <v>314</v>
      </c>
      <c r="C112" s="170">
        <v>6.8</v>
      </c>
    </row>
    <row r="113" spans="1:3" ht="12.75" customHeight="1" x14ac:dyDescent="0.2">
      <c r="A113" s="141" t="s">
        <v>275</v>
      </c>
      <c r="B113" s="139" t="s">
        <v>314</v>
      </c>
      <c r="C113" s="170">
        <v>6.8</v>
      </c>
    </row>
    <row r="114" spans="1:3" ht="12.75" customHeight="1" x14ac:dyDescent="0.2">
      <c r="A114" s="141" t="s">
        <v>276</v>
      </c>
      <c r="B114" s="142" t="s">
        <v>315</v>
      </c>
      <c r="C114" s="170">
        <v>6</v>
      </c>
    </row>
    <row r="115" spans="1:3" ht="12.75" customHeight="1" x14ac:dyDescent="0.2"/>
    <row r="116" spans="1:3" ht="12.75" customHeight="1" x14ac:dyDescent="0.2"/>
    <row r="117" spans="1:3" ht="12.75" customHeight="1" x14ac:dyDescent="0.2"/>
    <row r="118" spans="1:3" ht="12.75" customHeight="1" x14ac:dyDescent="0.2"/>
    <row r="119" spans="1:3" ht="12.75" customHeight="1" x14ac:dyDescent="0.2"/>
    <row r="120" spans="1:3" ht="12.75" customHeight="1" x14ac:dyDescent="0.2"/>
    <row r="121" spans="1:3" ht="12.75" customHeight="1" x14ac:dyDescent="0.2"/>
    <row r="122" spans="1:3" ht="12.75" customHeight="1" x14ac:dyDescent="0.2"/>
    <row r="123" spans="1:3" ht="12.75" customHeight="1" x14ac:dyDescent="0.2"/>
    <row r="124" spans="1:3" ht="12.75" customHeight="1" x14ac:dyDescent="0.2"/>
    <row r="125" spans="1:3" ht="12.75" customHeight="1" x14ac:dyDescent="0.2"/>
    <row r="126" spans="1:3" ht="12.75" customHeight="1" x14ac:dyDescent="0.2"/>
    <row r="127" spans="1:3" ht="12.75" customHeight="1" x14ac:dyDescent="0.2"/>
    <row r="128" spans="1:3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</sheetData>
  <mergeCells count="13">
    <mergeCell ref="A8:A9"/>
    <mergeCell ref="B8:B9"/>
    <mergeCell ref="A1:L1"/>
    <mergeCell ref="G7:L7"/>
    <mergeCell ref="K8:K9"/>
    <mergeCell ref="L8:L9"/>
    <mergeCell ref="F8:F9"/>
    <mergeCell ref="G8:G9"/>
    <mergeCell ref="H8:H9"/>
    <mergeCell ref="I8:I9"/>
    <mergeCell ref="J8:J9"/>
    <mergeCell ref="E8:E9"/>
    <mergeCell ref="C8:C9"/>
  </mergeCells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Q36"/>
  <sheetViews>
    <sheetView workbookViewId="0">
      <selection activeCell="D18" sqref="D18"/>
    </sheetView>
  </sheetViews>
  <sheetFormatPr defaultRowHeight="12.75" x14ac:dyDescent="0.2"/>
  <cols>
    <col min="1" max="1" width="28.28515625" customWidth="1"/>
    <col min="2" max="5" width="14.28515625" customWidth="1"/>
    <col min="7" max="7" width="28.28515625" customWidth="1"/>
    <col min="8" max="11" width="14.28515625" customWidth="1"/>
    <col min="13" max="13" width="28.28515625" customWidth="1"/>
    <col min="14" max="17" width="14.28515625" customWidth="1"/>
  </cols>
  <sheetData>
    <row r="1" spans="1:17" ht="18.75" customHeight="1" thickBot="1" x14ac:dyDescent="0.3">
      <c r="A1" s="244" t="s">
        <v>60</v>
      </c>
      <c r="B1" s="244"/>
      <c r="C1" s="244"/>
      <c r="D1" s="244"/>
      <c r="E1" s="244"/>
      <c r="F1" s="30"/>
      <c r="G1" s="244" t="s">
        <v>69</v>
      </c>
      <c r="H1" s="244"/>
      <c r="I1" s="244"/>
      <c r="J1" s="244"/>
      <c r="K1" s="244"/>
      <c r="M1" s="244" t="s">
        <v>70</v>
      </c>
      <c r="N1" s="244"/>
      <c r="O1" s="244"/>
      <c r="P1" s="244"/>
      <c r="Q1" s="244"/>
    </row>
    <row r="2" spans="1:17" ht="14.25" thickTop="1" thickBot="1" x14ac:dyDescent="0.25">
      <c r="A2" s="8" t="s">
        <v>62</v>
      </c>
      <c r="B2" s="9" t="s">
        <v>34</v>
      </c>
      <c r="C2" s="9" t="s">
        <v>35</v>
      </c>
      <c r="D2" s="9" t="s">
        <v>36</v>
      </c>
      <c r="E2" s="9" t="s">
        <v>37</v>
      </c>
      <c r="F2" s="18"/>
      <c r="G2" s="8" t="s">
        <v>62</v>
      </c>
      <c r="H2" s="9" t="s">
        <v>34</v>
      </c>
      <c r="I2" s="9" t="s">
        <v>35</v>
      </c>
      <c r="J2" s="9" t="s">
        <v>36</v>
      </c>
      <c r="K2" s="9" t="s">
        <v>37</v>
      </c>
      <c r="M2" s="8" t="s">
        <v>62</v>
      </c>
      <c r="N2" s="9" t="s">
        <v>34</v>
      </c>
      <c r="O2" s="9" t="s">
        <v>35</v>
      </c>
      <c r="P2" s="9" t="s">
        <v>36</v>
      </c>
      <c r="Q2" s="9" t="s">
        <v>37</v>
      </c>
    </row>
    <row r="4" spans="1:17" x14ac:dyDescent="0.2">
      <c r="A4" s="5" t="s">
        <v>30</v>
      </c>
      <c r="B4" s="23">
        <f>IF(Information!$C$12="Corn",(50+(0.2*Information!$E$12)-(Information!$G$20*2.5)-(Information!$E$12*Information!$G$20*0.01)),0)</f>
        <v>0</v>
      </c>
      <c r="C4" s="23">
        <f>IF(Information!$C$13="Corn",(50+(0.2*Information!$E$13)-(Information!$G$21*2.5)-(Information!$E$13*Information!$G$21*0.01)),0)</f>
        <v>0</v>
      </c>
      <c r="D4" s="23">
        <f>IF(Information!$C$14="Corn",(50+(0.2*Information!$E$14)-(Information!$G$22*2.5)-(Information!$E$14*Information!$G$22*0.01)),0)</f>
        <v>0</v>
      </c>
      <c r="E4" s="23">
        <f>IF(Information!$C$15="Corn",(50+(0.2*Information!$E$15)-(Information!$G$23*2.5)-(Information!$E$15*Information!$G$23*0.01)),0)</f>
        <v>0</v>
      </c>
      <c r="G4" s="5" t="s">
        <v>30</v>
      </c>
      <c r="H4" s="23">
        <f>IF(Information!$F$12="Corn",(50+(0.2*Information!$H$12)-(Information!$G$20*2.5)-(Information!$H$12*Information!$G$20*0.01)),0)</f>
        <v>0</v>
      </c>
      <c r="I4" s="23">
        <f>IF(Information!$F$13="Corn",(50+(0.2*Information!$H$13)-(Information!$G$21*2.5)-(Information!$H$13*Information!$G$21*0.01)),0)</f>
        <v>0</v>
      </c>
      <c r="J4" s="23">
        <f>IF(Information!$F$14="Corn",(50+(0.2*Information!$H$14)-(Information!$G$22*2.5)-(Information!$H$14*Information!$G$22*0.01)),0)</f>
        <v>0</v>
      </c>
      <c r="K4" s="23">
        <f>IF(Information!$F$15="Corn",(50+(0.2*Information!$H$15)-(Information!$G$23*2.5)-(Information!$H$15*Information!$G$23*0.01)),0)</f>
        <v>0</v>
      </c>
      <c r="M4" s="5" t="s">
        <v>30</v>
      </c>
      <c r="N4" s="23">
        <f>IF(Information!$I$12="Corn",(50+(0.2*Information!$K$12)-(Information!$G$20*2.5)-(Information!$K$12*Information!$G$20*0.01)),0)</f>
        <v>0</v>
      </c>
      <c r="O4" s="23">
        <f>IF(Information!$I$13="Corn",(50+(0.2*Information!$K$13)-(Information!$G$21*2.5)-(Information!$K$13*Information!$G$21*0.01)),0)</f>
        <v>0</v>
      </c>
      <c r="P4" s="23">
        <f>IF(Information!$I$14="Corn",(50+(0.2*Information!$K$14)-(Information!$G$22*2.5)-(Information!$K$14*Information!$G$22*0.01)),0)</f>
        <v>0</v>
      </c>
      <c r="Q4" s="23">
        <f>IF(Information!$I$15="Corn",(50+(0.2*Information!$K$15)-(Information!$G$23*2.5)-(Information!$K$15*Information!$G$23*0.01)),0)</f>
        <v>0</v>
      </c>
    </row>
    <row r="5" spans="1:17" x14ac:dyDescent="0.2">
      <c r="A5" s="5" t="s">
        <v>38</v>
      </c>
      <c r="B5" s="23">
        <f>IF(Information!$C$12="Wheat",(46+(0.42*Information!$E$12)-(Information!$G$20*2.3)-(Information!$E$12*Information!$G$20*0.021)),0)</f>
        <v>0</v>
      </c>
      <c r="C5" s="23">
        <f>IF(Information!$C$13="Wheat",(46+(0.42*Information!$E$13)-(Information!$G$21*2.3)-(Information!$E$13*Information!$G$21*0.021)),0)</f>
        <v>0</v>
      </c>
      <c r="D5" s="23">
        <f>IF(Information!$C$14="Wheat",(46+(0.42*Information!$E$14)-(Information!$G$22*2.3)-(Information!$E$14*Information!$G$22*0.021)),0)</f>
        <v>0</v>
      </c>
      <c r="E5" s="23">
        <f>IF(Information!$C$15="Wheat",(46+(0.42*Information!$E$15)-(Information!$G$23*2.3)-(Information!$E$15*Information!$G$23*0.021)),0)</f>
        <v>0</v>
      </c>
      <c r="G5" s="5" t="s">
        <v>38</v>
      </c>
      <c r="H5" s="23">
        <f>IF(Information!$F$12="Wheat",(46+(0.42*Information!$H$12)-(Information!$G$20*2.3)-(Information!$H$12*Information!$G$20*0.021)),0)</f>
        <v>0</v>
      </c>
      <c r="I5" s="23">
        <f>IF(Information!$F$13="Wheat",(46+(0.42*Information!$H$13)-(Information!$G$21*2.3)-(Information!$H$13*Information!$G$21*0.021)),0)</f>
        <v>0</v>
      </c>
      <c r="J5" s="23">
        <f>IF(Information!$F$14="Wheat",(46+(0.42*Information!$H$14)-(Information!$G$22*2.3)-(Information!$H$14*Information!$G$22*0.021)),0)</f>
        <v>0</v>
      </c>
      <c r="K5" s="23">
        <f>IF(Information!$F$15="Wheat",(46+(0.42*Information!$H$15)-(Information!$G$23*2.3)-(Information!$H$15*Information!$G$23*0.021)),0)</f>
        <v>0</v>
      </c>
      <c r="M5" s="5" t="s">
        <v>38</v>
      </c>
      <c r="N5" s="23">
        <f>IF(Information!$I$12="Wheat",(46+(0.42*Information!$K$12)-(Information!$G$20*2.3)-(Information!$K$12*Information!$G$20*0.021)),0)</f>
        <v>0</v>
      </c>
      <c r="O5" s="23">
        <f>IF(Information!$I$13="Wheat",(46+(0.42*Information!$K$13)-(Information!$G$21*2.3)-(Information!$K$13*Information!$G$21*0.021)),0)</f>
        <v>0</v>
      </c>
      <c r="P5" s="23">
        <f>IF(Information!$I$14="Wheat",(46+(0.42*Information!$K$14)-(Information!$G$22*2.3)-(Information!$K$14*Information!$G$22*0.021)),0)</f>
        <v>0</v>
      </c>
      <c r="Q5" s="23">
        <f>IF(Information!$I$15="Wheat",(46+(0.42*Information!$K$15)-(Information!$G$23*2.3)-(Information!$K$15*Information!$G$23*0.021)),0)</f>
        <v>0</v>
      </c>
    </row>
    <row r="6" spans="1:17" x14ac:dyDescent="0.2">
      <c r="A6" s="5" t="s">
        <v>39</v>
      </c>
      <c r="B6" s="23">
        <f>IF(Information!$C$12="Grain Sorghum",(50+(0.16*Information!$E$12)-(Information!$G$20*2.5)-(Information!$E$12*Information!$G$20*0.008)),0)</f>
        <v>0</v>
      </c>
      <c r="C6" s="23">
        <f>IF(Information!$C$13="Grain Sorghum",(50+(0.16*Information!$E$13)-(Information!$G$21*2.5)-(Information!$E$13*Information!$G$21*0.008)),0)</f>
        <v>0</v>
      </c>
      <c r="D6" s="23">
        <f>IF(Information!$C$14="Grain Sorghum",(50+(0.16*Information!$E$14)-(Information!$G$22*2.5)-(Information!$E$14*Information!$G$22*0.008)),0)</f>
        <v>0</v>
      </c>
      <c r="E6" s="23">
        <f>IF(Information!$C$15="Grain Sorghum",(50+(0.16*Information!$E$15)-(Information!$G$23*2.5)-(Information!$E$15*Information!$G$23*0.008)),0)</f>
        <v>0</v>
      </c>
      <c r="G6" s="5" t="s">
        <v>39</v>
      </c>
      <c r="H6" s="23">
        <f>IF(Information!$F$12="Grain Sorghum",(50+(0.16*Information!$H$12)-(Information!$G$20*2.5)-(Information!$H$12*Information!$G$20*0.008)),0)</f>
        <v>0</v>
      </c>
      <c r="I6" s="23">
        <f>IF(Information!$F13="Grain Sorghum",(50+(0.16*Information!$H$13)-(Information!$G$21*2.5)-(Information!$H$13*Information!$G$21*0.008)),0)</f>
        <v>0</v>
      </c>
      <c r="J6" s="23">
        <f>IF(Information!$F$14="Grain Sorghum",(50+(0.16*Information!$H$14)-(Information!$G$22*2.5)-(Information!$H$14*Information!$G$22*0.008)),0)</f>
        <v>0</v>
      </c>
      <c r="K6" s="23">
        <f>IF(Information!$F$15="Grain Sorghum",(50+(0.16*Information!$H$15)-(Information!$G$23*2.5)-(Information!$H$15*Information!$G$23*0.008)),0)</f>
        <v>0</v>
      </c>
      <c r="M6" s="5" t="s">
        <v>39</v>
      </c>
      <c r="N6" s="23">
        <f>IF(Information!$I$12="Grain Sorghum",(50+(0.16*Information!$K$12)-(Information!$G$20*2.5)-(Information!$K$12*Information!$G$20*0.008)),0)</f>
        <v>0</v>
      </c>
      <c r="O6" s="23">
        <f>IF(Information!$I13="Grain Sorghum",(50+(0.16*Information!$K$13)-(Information!$G$21*2.5)-(Information!$K$13*Information!$G$21*0.008)),0)</f>
        <v>0</v>
      </c>
      <c r="P6" s="23">
        <f>IF(Information!$I$14="Grain Sorghum",(50+(0.16*Information!$K$14)-(Information!$G$22*2.5)-(Information!$K$14*Information!$G$22*0.008)),0)</f>
        <v>0</v>
      </c>
      <c r="Q6" s="23">
        <f>IF(Information!$I$15="Grain Sorghum",(50+(0.16*Information!$K$15)-(Information!$G$23*2.5)-(Information!$K$15*Information!$G$23*0.008)),0)</f>
        <v>0</v>
      </c>
    </row>
    <row r="7" spans="1:17" x14ac:dyDescent="0.2">
      <c r="A7" s="5" t="s">
        <v>40</v>
      </c>
      <c r="B7" s="23">
        <f>IF(Information!$C$12="Silage-Corn",(56+(1.12*Information!$E$12)-(Information!$G$20*2.8)-(Information!$E$12*Information!$G$20*0.056)),0)</f>
        <v>0</v>
      </c>
      <c r="C7" s="23">
        <f>IF(Information!$C$13="Silage-Corn",(56+(1.12*Information!$E$13)-(Information!$G$21*2.8)-(Information!$E$13*Information!$G$21*0.056)),0)</f>
        <v>0</v>
      </c>
      <c r="D7" s="23">
        <f>IF(Information!$C$14="Silage-Corn",(56+(1.12*Information!$E$14)-(Information!$G$22*2.8)-(Information!$E$14*Information!$G$22*0.056)),0)</f>
        <v>0</v>
      </c>
      <c r="E7" s="23">
        <f>IF(Information!$C$15="Silage-Corn",(56+(1.12*Information!$E$15)-(Information!$G$23*2.8)-(Information!$E$15*Information!$G$23*0.056)),0)</f>
        <v>0</v>
      </c>
      <c r="G7" s="5" t="s">
        <v>40</v>
      </c>
      <c r="H7" s="23">
        <f>IF(Information!$F$12="Silage-Corn",(56+(1.12*Information!$H$12)-(Information!$G$20*2.8)-(Information!$H$12*Information!$G$20*0.056)),0)</f>
        <v>0</v>
      </c>
      <c r="I7" s="23">
        <f>IF(Information!$F$13="Silage-Corn",(56+(1.12*Information!$H$13)-(Information!$G$21*2.8)-(Information!$H$13*Information!$G$21*0.056)),0)</f>
        <v>0</v>
      </c>
      <c r="J7" s="23">
        <f>IF(Information!$F$14="Silage-Corn",(56+(1.12*Information!$H$14)-(Information!$G$22*2.8)-(Information!$H$14*Information!$G$22*0.056)),0)</f>
        <v>0</v>
      </c>
      <c r="K7" s="23">
        <f>IF(Information!$F$15="Silage-Corn",(56+(1.12*Information!$H$15)-(Information!$G$23*2.8)-(Information!$H$15*Information!$G$23*0.056)),0)</f>
        <v>0</v>
      </c>
      <c r="M7" s="5" t="s">
        <v>40</v>
      </c>
      <c r="N7" s="23">
        <f>IF(Information!$I$12="Silage-Corn",(56+(1.12*Information!$K$12)-(Information!$G$20*2.8)-(Information!$K$12*Information!$G$20*0.056)),0)</f>
        <v>0</v>
      </c>
      <c r="O7" s="23">
        <f>IF(Information!$I$13="Silage-Corn",(56+(1.12*Information!$K$13)-(Information!$G$21*2.8)-(Information!$K$13*Information!$G$21*0.056)),0)</f>
        <v>0</v>
      </c>
      <c r="P7" s="23">
        <f>IF(Information!$I$14="Silage-Corn",(56+(1.12*Information!$K$14)-(Information!$G$22*2.8)-(Information!$K$14*Information!$G$22*0.056)),0)</f>
        <v>0</v>
      </c>
      <c r="Q7" s="23">
        <f>IF(Information!$I$15="Silage-Corn",(56+(1.12*Information!$K$15)-(Information!$G$23*2.8)-(Information!$K$15*Information!$G$23*0.056)),0)</f>
        <v>0</v>
      </c>
    </row>
    <row r="8" spans="1:17" x14ac:dyDescent="0.2">
      <c r="A8" s="5" t="s">
        <v>41</v>
      </c>
      <c r="B8" s="23">
        <f>IF(Information!$C$12="Silage-Sorghum",(48+(1.19*Information!$E$12)-(Information!$G$20*2.38)-(Information!$E$12*Information!$G$20*0.0594)),0)</f>
        <v>0</v>
      </c>
      <c r="C8" s="23">
        <f>IF(Information!$C$13="Silage-Sorghum",(48+(1.19*Information!$E$13)-(Information!$G$21*2.38)-(Information!$E$13*Information!$G$21*0.0594)),0)</f>
        <v>0</v>
      </c>
      <c r="D8" s="23">
        <f>IF(Information!$C$14="Silage-Sorghum",(48+(1.19*Information!$E$14)-(Information!$G$22*2.38)-(Information!$E$14*Information!$G$22*0.0594)),0)</f>
        <v>0</v>
      </c>
      <c r="E8" s="23">
        <f>IF(Information!$F$15="Silage-Sorghum",(48+(1.19*Information!$E$15)-(Information!$G$23*2.38)-(Information!$E$15*Information!$G$23*0.0594)),0)</f>
        <v>0</v>
      </c>
      <c r="G8" s="5" t="s">
        <v>41</v>
      </c>
      <c r="H8" s="23">
        <f>IF(Information!$F$12="Silage-Sorghum",(48+(1.19*Information!$H$12)-(Information!$G$20*2.38)-(Information!$H$12*Information!$G$20*0.0594)),0)</f>
        <v>0</v>
      </c>
      <c r="I8" s="23">
        <f>IF(Information!$F$13="Silage-Sorghum",(48+(1.19*Information!$H$13)-(Information!$G$21*2.38)-(Information!$H$13*Information!$G$21*0.0594)),0)</f>
        <v>0</v>
      </c>
      <c r="J8" s="23">
        <f>IF(Information!$F$14="Silage-Sorghum",(48+(1.19*Information!$H$14)-(Information!$G$22*2.38)-(Information!$H$14*Information!$G$22*0.0594)),0)</f>
        <v>0</v>
      </c>
      <c r="K8" s="23">
        <f>IF(Information!$F$15="Silage-Sorghum",(48+(1.19*Information!$H$15)-(Information!$G$23*2.38)-(Information!$H$15*Information!$G$23*0.0594)),0)</f>
        <v>0</v>
      </c>
      <c r="M8" s="5" t="s">
        <v>41</v>
      </c>
      <c r="N8" s="23">
        <f>IF(Information!$I$12="Silage-Sorghum",(48+(1.19*Information!$K$12)-(Information!$G$20*2.38)-(Information!$K$12*Information!$G$20*0.0594)),0)</f>
        <v>0</v>
      </c>
      <c r="O8" s="23">
        <f>IF(Information!$I$13="Silage-Sorghum",(48+(1.19*Information!$K$13)-(Information!$G$21*2.38)-(Information!$K$13*Information!$G$21*0.0594)),0)</f>
        <v>0</v>
      </c>
      <c r="P8" s="23">
        <f>IF(Information!$I$14="Silage-Sorghum",(48+(1.19*Information!$K$14)-(Information!$G$22*2.38)-(Information!$K$14*Information!$G$22*0.0594)),0)</f>
        <v>0</v>
      </c>
      <c r="Q8" s="23">
        <f>IF(Information!$I$15="Silage-Sorghum",(48+(1.19*Information!$K$15)-(Information!$G$23*2.38)-(Information!$K$15*Information!$G$23*0.0594)),0)</f>
        <v>0</v>
      </c>
    </row>
    <row r="9" spans="1:17" x14ac:dyDescent="0.2">
      <c r="A9" s="5" t="s">
        <v>42</v>
      </c>
      <c r="B9" s="23">
        <f>IF(Information!$C$12="Sunflower",(42+(0.0104*Information!$E$12)-(Information!$G$20*2.1)-(Information!$E$12*Information!$G$20*0.00052)),0)</f>
        <v>0</v>
      </c>
      <c r="C9" s="23">
        <f>IF(Information!$C$13="Sunflower",(42+(0.0104*Information!$E$13)-(Information!$G$21*2.1)-(Information!$E$13*Information!$G$21*0.00052)),0)</f>
        <v>0</v>
      </c>
      <c r="D9" s="23">
        <f>IF(Information!$C$14="Sunflower",(42+(0.0104*Information!$E$14)-(Information!$G$22*2.1)-(Information!$E$14*Information!$G$22*0.00052)),0)</f>
        <v>0</v>
      </c>
      <c r="E9" s="23">
        <f>IF(Information!$C$15="Sunflower",(42+(0.0104*Information!$E$15)-(Information!$G$23*2.1)-(Information!$E$15*Information!$G$23*0.00052)),0)</f>
        <v>0</v>
      </c>
      <c r="G9" s="5" t="s">
        <v>42</v>
      </c>
      <c r="H9" s="23">
        <f>IF(Information!$F$12="Sunflower",(42+(0.0104*Information!$H$12)-(Information!$G$20*2.1)-(Information!$H$12*Information!$G$20*0.00052)),0)</f>
        <v>0</v>
      </c>
      <c r="I9" s="23">
        <f>IF(Information!$F$13="Sunflower",(42+(0.0104*Information!$H$13)-(Information!$G$21*2.1)-(Information!$H$13*Information!$G$21*0.00052)),0)</f>
        <v>0</v>
      </c>
      <c r="J9" s="23">
        <f>IF(Information!$F$14="Sunflower",(42+(0.0104*Information!$H$14)-(Information!$G$22*2.1)-(Information!$H$14*Information!$G$22*0.00052)),0)</f>
        <v>0</v>
      </c>
      <c r="K9" s="23">
        <f>IF(Information!$F$15="Sunflower",(42+(0.0104*Information!$H$15)-(Information!$G$23*2.1)-(Information!$H$15*Information!$G$23*0.00052)),0)</f>
        <v>0</v>
      </c>
      <c r="M9" s="5" t="s">
        <v>42</v>
      </c>
      <c r="N9" s="23">
        <f>IF(Information!$I$12="Sunflower",(42+(0.0104*Information!$K$12)-(Information!$G$20*2.1)-(Information!$K$12*Information!$G$20*0.00052)),0)</f>
        <v>0</v>
      </c>
      <c r="O9" s="23">
        <f>IF(Information!$I$13="Sunflower",(42+(0.0104*Information!$K$13)-(Information!$G$21*2.1)-(Information!$K$13*Information!$G$21*0.00052)),0)</f>
        <v>0</v>
      </c>
      <c r="P9" s="23">
        <f>IF(Information!$I$14="Sunflower",(42+(0.0104*Information!$K$14)-(Information!$G$22*2.1)-(Information!$K$14*Information!$G$22*0.00052)),0)</f>
        <v>0</v>
      </c>
      <c r="Q9" s="23">
        <f>IF(Information!$I$15="Sunflower",(42+(0.0104*Information!$K$15)-(Information!$G$23*2.1)-(Information!$K$15*Information!$G$23*0.00052)),0)</f>
        <v>0</v>
      </c>
    </row>
    <row r="10" spans="1:17" x14ac:dyDescent="0.2">
      <c r="A10" s="5" t="s">
        <v>43</v>
      </c>
      <c r="B10" s="23">
        <f>IF(Information!$C$12="Oats",(47+(0.25*Information!$E$12)-(Information!$G$20*2.3)-(Information!$E$12*Information!$G$20*0.013)),0)</f>
        <v>0</v>
      </c>
      <c r="C10" s="23">
        <f>IF(Information!$C$13="Oats",(47+(0.25*Information!$E$13)-(Information!$G$21*2.3)-(Information!$E$13*Information!$G$21*0.013)),0)</f>
        <v>0</v>
      </c>
      <c r="D10" s="23">
        <f>IF(Information!$C$14="Oats",(47+(0.25*Information!$E$14)-(Information!$G$22*2.3)-(Information!$E$14*Information!$G$22*0.013)),0)</f>
        <v>0</v>
      </c>
      <c r="E10" s="23">
        <f>IF(Information!$C$15="Oats",(47+(0.25*Information!$E$15)-(Information!$G$23*2.3)-(Information!$E$15*Information!$G$23*0.013)),0)</f>
        <v>0</v>
      </c>
      <c r="G10" s="5" t="s">
        <v>43</v>
      </c>
      <c r="H10" s="23">
        <f>IF(Information!$F$12="Oats",(47+(0.25*Information!$H$12)-(Information!$G$20*2.3)-(Information!$H$12*Information!$G$20*0.013)),0)</f>
        <v>0</v>
      </c>
      <c r="I10" s="23">
        <f>IF(Information!$F$13="Oats",(47+(0.25*Information!$H$13)-(Information!$G$21*2.3)-(Information!$H$13*Information!$G$21*0.013)),0)</f>
        <v>0</v>
      </c>
      <c r="J10" s="23">
        <f>IF(Information!$F$14="Oats",(47+(0.25*Information!$H$14)-(Information!$G$22*2.3)-(Information!$H$14*Information!$G$22*0.013)),0)</f>
        <v>0</v>
      </c>
      <c r="K10" s="23">
        <f>IF(Information!$F$15="Oats",(47+(0.25*Information!$H$15)-(Information!$G$23*2.3)-(Information!$H$15*Information!$G$23*0.013)),0)</f>
        <v>0</v>
      </c>
      <c r="M10" s="5" t="s">
        <v>43</v>
      </c>
      <c r="N10" s="23">
        <f>IF(Information!$I$12="Oats",(47+(0.25*Information!$K$12)-(Information!$G$20*2.3)-(Information!$K$12*Information!$G$20*0.013)),0)</f>
        <v>0</v>
      </c>
      <c r="O10" s="23">
        <f>IF(Information!$I$13="Oats",(47+(0.25*Information!$K$13)-(Information!$G$21*2.3)-(Information!$K$13*Information!$G$21*0.013)),0)</f>
        <v>0</v>
      </c>
      <c r="P10" s="23">
        <f>IF(Information!$I$14="Oats",(47+(0.25*Information!$K$14)-(Information!$G$22*2.3)-(Information!$K$14*Information!$G$22*0.013)),0)</f>
        <v>0</v>
      </c>
      <c r="Q10" s="23">
        <f>IF(Information!$I$15="Oats",(47+(0.25*Information!$K$15)-(Information!$G$23*2.3)-(Information!$K$15*Information!$G$23*0.013)),0)</f>
        <v>0</v>
      </c>
    </row>
    <row r="11" spans="1:17" x14ac:dyDescent="0.2">
      <c r="A11" s="5" t="s">
        <v>56</v>
      </c>
      <c r="B11" s="23">
        <f>IF(Information!$C$12="Brome",(44+(6.3*Information!$E$12)-(Information!$G$20*2.2)-(Information!$E$12*Information!$G$20*0.315)),0)</f>
        <v>0</v>
      </c>
      <c r="C11" s="23">
        <f>IF(Information!$C$13="Brome",(44+(6.3*Information!$E$13)-(Information!$G$21*2.2)-(Information!$E$13*Information!$G$21*0.315)),0)</f>
        <v>0</v>
      </c>
      <c r="D11" s="23">
        <f>IF(Information!$C$14="Brome",(44+(6.3*Information!$E$14)-(Information!$G$22*2.2)-(Information!$E$14*Information!$G$22*0.315)),0)</f>
        <v>0</v>
      </c>
      <c r="E11" s="23">
        <f>IF(Information!$C$15="Brome",(44+(6.3*Information!$E$15)-(Information!$G$23*2.2)-(Information!$E$15*Information!$G$23*0.315)),0)</f>
        <v>0</v>
      </c>
      <c r="G11" s="5" t="s">
        <v>56</v>
      </c>
      <c r="H11" s="23">
        <f>IF(Information!$F$12="Brome",(44+(6.3*Information!$H$12)-(Information!$G$20*2.2)-(Information!$H$12*Information!$G$20*0.315)),0)</f>
        <v>0</v>
      </c>
      <c r="I11" s="23">
        <f>IF(Information!$F$13="Brome",(44+(6.3*Information!$H$13)-(Information!$G$21*2.2)-(Information!$H$13*Information!$G$21*0.315)),0)</f>
        <v>0</v>
      </c>
      <c r="J11" s="23">
        <f>IF(Information!$F$14="Brome",(44+(6.3*Information!$H$14)-(Information!$G$22*2.2)-(Information!$H$14*Information!$G$22*0.315)),0)</f>
        <v>0</v>
      </c>
      <c r="K11" s="23">
        <f>IF(Information!$F$15="Brome",(44+(6.3*Information!$H$15)-(Information!$G$23*2.2)-(Information!$H$15*Information!$G$23*0.315)),0)</f>
        <v>0</v>
      </c>
      <c r="M11" s="5" t="s">
        <v>56</v>
      </c>
      <c r="N11" s="23">
        <f>IF(Information!$I$12="Brome",(44+(6.3*Information!$K$12)-(Information!$G$20*2.2)-(Information!$K$12*Information!$G$20*0.315)),0)</f>
        <v>0</v>
      </c>
      <c r="O11" s="23">
        <f>IF(Information!$I$13="Brome",(44+(6.3*Information!$K$13)-(Information!$G$21*2.2)-(Information!$K$13*Information!$G$21*0.315)),0)</f>
        <v>0</v>
      </c>
      <c r="P11" s="23">
        <f>IF(Information!$I$14="Brome",(44+(6.3*Information!$K$14)-(Information!$G$22*2.2)-(Information!$K$14*Information!$G$22*0.315)),0)</f>
        <v>0</v>
      </c>
      <c r="Q11" s="23">
        <f>IF(Information!$I$15="Brome",(44+(6.3*Information!$K$15)-(Information!$G$23*2.2)-(Information!$K$15*Information!$G$23*0.315)),0)</f>
        <v>0</v>
      </c>
    </row>
    <row r="12" spans="1:17" x14ac:dyDescent="0.2">
      <c r="A12" s="5" t="s">
        <v>44</v>
      </c>
      <c r="B12" s="23">
        <f>IF(Information!$C$12="Fescue",(44+(6.3*Information!$E$12)-(Information!$G$20*2.2)-(Information!$E$12*Information!$G$20*0.315)),0)</f>
        <v>0</v>
      </c>
      <c r="C12" s="23">
        <f>IF(Information!$C$13="Fescue",(44+(6.3*Information!$E$13)-(Information!$G$21*2.2)-(Information!$E$13*Information!$G$21*0.315)),0)</f>
        <v>0</v>
      </c>
      <c r="D12" s="23">
        <f>IF(Information!$C$14="Fescue",(44+(6.3*Information!$E$14)-(Information!$G$22*2.2)-(Information!$E$14*Information!$G$22*0.315)),0)</f>
        <v>0</v>
      </c>
      <c r="E12" s="23">
        <f>IF(Information!$C$15="Fescue",(44+(6.3*Information!$E$15)-(Information!$G$23*2.2)-(Information!$E$15*Information!$G$23*0.315)),0)</f>
        <v>0</v>
      </c>
      <c r="G12" s="5" t="s">
        <v>44</v>
      </c>
      <c r="H12" s="23">
        <f>IF(Information!$F$12="Fescue",(44+(6.3*Information!$H$12)-(Information!$G$20*2.2)-(Information!$H$12*Information!$G$20*0.315)),0)</f>
        <v>0</v>
      </c>
      <c r="I12" s="23">
        <f>IF(Information!$F$13="Fescue",(44+(6.3*Information!$H$13)-(Information!$G$21*2.2)-(Information!$H$13*Information!$G$21*0.315)),0)</f>
        <v>0</v>
      </c>
      <c r="J12" s="23">
        <f>IF(Information!$F$14="Fescue",(44+(6.3*Information!$H$14)-(Information!$G$22*2.2)-(Information!$H$14*Information!$G$22*0.315)),0)</f>
        <v>0</v>
      </c>
      <c r="K12" s="23">
        <f>IF(Information!$F$15="Fescue",(44+(6.3*Information!$H$15)-(Information!$G$23*2.2)-(Information!$H$15*Information!$G$23*0.315)),0)</f>
        <v>0</v>
      </c>
      <c r="M12" s="5" t="s">
        <v>44</v>
      </c>
      <c r="N12" s="23">
        <f>IF(Information!$I$12="Fescue",(44+(6.3*Information!$K$12)-(Information!$G$20*2.2)-(Information!$K$12*Information!$G$20*0.315)),0)</f>
        <v>0</v>
      </c>
      <c r="O12" s="23">
        <f>IF(Information!$I$13="Fescue",(44+(6.3*Information!$K$13)-(Information!$G$21*2.2)-(Information!$K$13*Information!$G$21*0.315)),0)</f>
        <v>0</v>
      </c>
      <c r="P12" s="23">
        <f>IF(Information!$I$14="Fescue",(44+(6.3*Information!$K$14)-(Information!$G$22*2.2)-(Information!$K$14*Information!$G$22*0.315)),0)</f>
        <v>0</v>
      </c>
      <c r="Q12" s="23">
        <f>IF(Information!$I$15="Fescue",(44+(6.3*Information!$K$15)-(Information!$G$23*2.2)-(Information!$K$15*Information!$G$23*0.315)),0)</f>
        <v>0</v>
      </c>
    </row>
    <row r="13" spans="1:17" x14ac:dyDescent="0.2">
      <c r="A13" s="5" t="s">
        <v>45</v>
      </c>
      <c r="B13" s="23">
        <f>IF(Information!$C$12="Bermuda",(64+(5.3*Information!$E$12)-(Information!$G$20*2.56)-(Information!$E$12*Information!$G$20*0.21)),0)</f>
        <v>0</v>
      </c>
      <c r="C13" s="23">
        <f>IF(Information!$C$13="Bermuda",(64+(5.3*Information!$E$13)-(Information!$G$21*2.56)-(Information!$E$13*Information!$G$21*0.21)),0)</f>
        <v>0</v>
      </c>
      <c r="D13" s="23">
        <f>IF(Information!$C$14="Bermuda",(64+(5.3*Information!$E$14)-(Information!$G$22*2.56)-(Information!$E$14*Information!$G$22*0.21)),0)</f>
        <v>0</v>
      </c>
      <c r="E13" s="23">
        <f>IF(Information!$C$15="Bermuda",(64+(5.3*Information!$E$15)-(Information!$G$23*2.56)-(Information!$E$15*Information!$G$23*0.21)),0)</f>
        <v>0</v>
      </c>
      <c r="G13" s="5" t="s">
        <v>45</v>
      </c>
      <c r="H13" s="23">
        <f>IF(Information!$F$12="Bermuda",(64+(5.3*Information!$H$12)-(Information!$G$20*2.56)-(Information!$H$12*Information!$G$20*0.21)),0)</f>
        <v>0</v>
      </c>
      <c r="I13" s="23">
        <f>IF(Information!$F$13="Bermuda",(64+(5.3*Information!$H$13)-(Information!$G$21*2.56)-(Information!$H$13*Information!$G$21*0.21)),0)</f>
        <v>0</v>
      </c>
      <c r="J13" s="23">
        <f>IF(Information!$F$14="Bermuda",(64+(5.3*Information!$H$14)-(Information!$G$22*2.56)-(Information!$H$14*Information!$G$22*0.21)),0)</f>
        <v>0</v>
      </c>
      <c r="K13" s="23">
        <f>IF(Information!$F$15="Bermuda",(64+(5.3*Information!$H$15)-(Information!$G$23*2.56)-(Information!$H$15*Information!$G$23*0.21)),0)</f>
        <v>0</v>
      </c>
      <c r="M13" s="5" t="s">
        <v>45</v>
      </c>
      <c r="N13" s="23">
        <f>IF(Information!$I$12="Bermuda",(64+(5.3*Information!$K$12)-(Information!$G$20*2.56)-(Information!$K$12*Information!$G$20*0.21)),0)</f>
        <v>0</v>
      </c>
      <c r="O13" s="23">
        <f>IF(Information!$I$13="Bermuda",(64+(5.3*Information!$K$13)-(Information!$G$21*2.56)-(Information!$K$13*Information!$G$21*0.21)),0)</f>
        <v>0</v>
      </c>
      <c r="P13" s="23">
        <f>IF(Information!$I$14="Bermuda",(64+(5.3*Information!$K$14)-(Information!$G$22*2.56)-(Information!$K$14*Information!$G$22*0.21)),0)</f>
        <v>0</v>
      </c>
      <c r="Q13" s="23">
        <f>IF(Information!$I$15="Bermuda",(64+(5.3*Information!$K$15)-(Information!$G$23*2.56)-(Information!$K$15*Information!$G$23*0.21)),0)</f>
        <v>0</v>
      </c>
    </row>
    <row r="14" spans="1:17" x14ac:dyDescent="0.2">
      <c r="A14" s="5" t="s">
        <v>46</v>
      </c>
      <c r="B14" s="23">
        <f>IF(Information!$C$12="New Brome",(68+(11.2*Information!$E$12)-(Information!$G$20*3.4)-(Information!$E$12*Information!$G$20*0.56)),0)</f>
        <v>0</v>
      </c>
      <c r="C14" s="23">
        <f>IF(Information!$C$13="New Brome",(68+(11.2*Information!$E$13)-(Information!$G$21*3.4)-(Information!$E$13*Information!$G$21*0.56)),0)</f>
        <v>0</v>
      </c>
      <c r="D14" s="23">
        <f>IF(Information!$C$14="New Brome",(68+(11.2*Information!$E$14)-(Information!$G$22*3.4)-(Information!$E$14*Information!$G$22*0.56)),0)</f>
        <v>0</v>
      </c>
      <c r="E14" s="23">
        <f>IF(Information!$C$15="New Brome",(68+(11.2*Information!$E$15)-(Information!$G$23*3.4)-(Information!$E$15*Information!$G$23*0.56)),0)</f>
        <v>0</v>
      </c>
      <c r="G14" s="5" t="s">
        <v>46</v>
      </c>
      <c r="H14" s="23">
        <f>IF(Information!$F$12="New Brome",(68+(11.2*Information!$H$12)-(Information!$G$20*3.4)-(Information!$H$12*Information!$G$20*0.56)),0)</f>
        <v>0</v>
      </c>
      <c r="I14" s="23">
        <f>IF(Information!$F$13="New Brome",(68+(11.2*Information!$H$13)-(Information!$G$21*3.4)-(Information!$H$13*Information!$G$21*0.56)),0)</f>
        <v>0</v>
      </c>
      <c r="J14" s="23">
        <f>IF(Information!$F$14="New Brome",(68+(11.2*Information!$H$14)-(Information!$G$22*3.4)-(Information!$H$14*Information!$G$22*0.56)),0)</f>
        <v>0</v>
      </c>
      <c r="K14" s="23">
        <f>IF(Information!$F$15="New Brome",(68+(11.2*Information!$H$15)-(Information!$G$23*3.4)-(Information!$H$15*Information!$G$23*0.56)),0)</f>
        <v>0</v>
      </c>
      <c r="M14" s="5" t="s">
        <v>46</v>
      </c>
      <c r="N14" s="23">
        <f>IF(Information!$I$12="New Brome",(68+(11.2*Information!$K$12)-(Information!$G$20*3.4)-(Information!$K$12*Information!$G$20*0.56)),0)</f>
        <v>0</v>
      </c>
      <c r="O14" s="23">
        <f>IF(Information!$I$13="New Brome",(68+(11.2*Information!$K$13)-(Information!$G$21*3.4)-(Information!$K$13*Information!$G$21*0.56)),0)</f>
        <v>0</v>
      </c>
      <c r="P14" s="23">
        <f>IF(Information!$I$14="New Brome",(68+(11.2*Information!$K$14)-(Information!$G$22*3.4)-(Information!$K$14*Information!$G$22*0.56)),0)</f>
        <v>0</v>
      </c>
      <c r="Q14" s="23">
        <f>IF(Information!$I$15="New Brome",(68+(11.2*Information!$K$15)-(Information!$G$23*3.4)-(Information!$K$15*Information!$G$23*0.56)),0)</f>
        <v>0</v>
      </c>
    </row>
    <row r="15" spans="1:17" x14ac:dyDescent="0.2">
      <c r="A15" s="5" t="s">
        <v>47</v>
      </c>
      <c r="B15" s="23">
        <f>IF(Information!$C$12="New Fescue",(68+(11.2*Information!$E$12)-(Information!$G$20*3.4)-(Information!$E$12*Information!$G$20*0.56)),0)</f>
        <v>0</v>
      </c>
      <c r="C15" s="23">
        <f>IF(Information!$C$13="New Fescue",(68+(11.2*Information!$E$13)-(Information!$G$21*3.4)-(Information!$E$13*Information!$G$21*0.56)),0)</f>
        <v>0</v>
      </c>
      <c r="D15" s="23">
        <f>IF(Information!$C$14="New Fescue",(68+(11.2*Information!$E$14)-(Information!$G$22*3.4)-(Information!$E$14*Information!$G$22*0.56)),0)</f>
        <v>0</v>
      </c>
      <c r="E15" s="23">
        <f>IF(Information!$C$15="New Fescue",(68+(11.2*Information!$E$15)-(Information!$G$23*3.4)-(Information!$E$15*Information!$G$23*0.56)),0)</f>
        <v>0</v>
      </c>
      <c r="G15" s="5" t="s">
        <v>47</v>
      </c>
      <c r="H15" s="23">
        <f>IF(Information!$F$12="New Fescue",(68+(11.2*Information!$H$12)-(Information!$G$20*3.4)-(Information!$H$12*Information!$G$20*0.56)),0)</f>
        <v>0</v>
      </c>
      <c r="I15" s="23">
        <f>IF(Information!$F$13="New Fescue",(68+(11.2*Information!$H$13)-(Information!$G$21*3.4)-(Information!$H$13*Information!$G$21*0.56)),0)</f>
        <v>0</v>
      </c>
      <c r="J15" s="23">
        <f>IF(Information!$F$14="New Fescue",(68+(11.2*Information!$H$14)-(Information!$G$22*3.4)-(Information!$H$14*Information!$G$22*0.56)),0)</f>
        <v>0</v>
      </c>
      <c r="K15" s="23">
        <f>IF(Information!$F$15="New Fescue",(68+(11.2*Information!$H$15)-(Information!$G$23*3.4)-(Information!$H$15*Information!$G$23*0.56)),0)</f>
        <v>0</v>
      </c>
      <c r="M15" s="5" t="s">
        <v>47</v>
      </c>
      <c r="N15" s="23">
        <f>IF(Information!$I$12="New Fescue",(68+(11.2*Information!$K$12)-(Information!$G$20*3.4)-(Information!$K$12*Information!$G$20*0.56)),0)</f>
        <v>0</v>
      </c>
      <c r="O15" s="23">
        <f>IF(Information!$I$13="New Fescue",(68+(11.2*Information!$K$13)-(Information!$G$21*3.4)-(Information!$K$13*Information!$G$21*0.56)),0)</f>
        <v>0</v>
      </c>
      <c r="P15" s="23">
        <f>IF(Information!$I$14="New Fescue",(68+(11.2*Information!$K$14)-(Information!$G$22*3.4)-(Information!$K$14*Information!$G$22*0.56)),0)</f>
        <v>0</v>
      </c>
      <c r="Q15" s="23">
        <f>IF(Information!$I$15="New Fescue",(68+(11.2*Information!$K$15)-(Information!$G$23*3.4)-(Information!$K$15*Information!$G$23*0.56)),0)</f>
        <v>0</v>
      </c>
    </row>
    <row r="16" spans="1:17" x14ac:dyDescent="0.2">
      <c r="A16" s="5" t="s">
        <v>278</v>
      </c>
      <c r="B16" s="23">
        <f>IF(Information!$C$12="New Bermuda",(64+(9.1*Information!$E$12)-(Information!$G$20*2.56)-(Information!$E$12*Information!$G$20*0.365)),0)</f>
        <v>0</v>
      </c>
      <c r="C16" s="23">
        <f>IF(Information!$C$13="New Bermuda",(64+(9.1*Information!$E$13)-(Information!$G$21*2.56)-(Information!$E$13*Information!$G$21*0.365)),0)</f>
        <v>0</v>
      </c>
      <c r="D16" s="23">
        <f>IF(Information!$C$14="New Bermuda",(64+(9.1*Information!$E$14)-(Information!$G$22*2.56)-(Information!$E$14*Information!$G$22*0.365)),0)</f>
        <v>0</v>
      </c>
      <c r="E16" s="23">
        <f>IF(Information!$C$15="New Bermuda",(64+(9.1*Information!$E$15)-(Information!$G$23*2.56)-(Information!$E$15*Information!$G$23*0.365)),0)</f>
        <v>0</v>
      </c>
      <c r="G16" s="5" t="s">
        <v>278</v>
      </c>
      <c r="H16" s="23">
        <f>IF(Information!$F$12="New Bermuda",(64+(9.1*Information!$H$12)-(Information!$G$20*2.56)-(Information!$H$12*Information!$G$20*0.365)),0)</f>
        <v>0</v>
      </c>
      <c r="I16" s="23">
        <f>IF(Information!$F$13="New Bermuda",(64+(9.1*Information!$H$13)-(Information!$G$21*2.56)-(Information!$H$13*Information!$G$21*0.365)),0)</f>
        <v>0</v>
      </c>
      <c r="J16" s="23">
        <f>IF(Information!$F$14="New Bermuda",(64+(9.1*Information!$H$14)-(Information!$G$22*2.56)-(Information!$H$14*Information!$G$22*0.365)),0)</f>
        <v>0</v>
      </c>
      <c r="K16" s="23">
        <f>IF(Information!$F$15="New Bermuda",(64+(9.1*Information!$H$15)-(Information!$G$23*2.56)-(Information!$H$15*Information!$G$23*0.365)),0)</f>
        <v>0</v>
      </c>
      <c r="M16" s="5" t="s">
        <v>278</v>
      </c>
      <c r="N16" s="23">
        <f>IF(Information!$I$12="New Bermuda",(64+(9.1*Information!$K$12)-(Information!$G$20*2.56)-(Information!$K$12*Information!$G$20*0.365)),0)</f>
        <v>0</v>
      </c>
      <c r="O16" s="23">
        <f>IF(Information!$I$13="New Bermuda",(64+(9.1*Information!$K$13)-(Information!$G$21*2.56)-(Information!$K$13*Information!$G$21*0.365)),0)</f>
        <v>0</v>
      </c>
      <c r="P16" s="23">
        <f>IF(Information!$I$14="New Bermuda",(64+(9.1*Information!$K$14)-(Information!$G$22*2.56)-(Information!$K$14*Information!$G$22*0.365)),0)</f>
        <v>0</v>
      </c>
      <c r="Q16" s="23">
        <f>IF(Information!$I$15="New Bermuda",(64+(9.1*Information!$K$15)-(Information!$G$23*2.56)-(Information!$K$15*Information!$G$23*0.365)),0)</f>
        <v>0</v>
      </c>
    </row>
    <row r="17" spans="1:17" x14ac:dyDescent="0.2">
      <c r="A17" s="5" t="s">
        <v>279</v>
      </c>
      <c r="B17" s="23">
        <f>IF(Information!$C$12="New Alfalfa/Clover",(84+(12*Information!$E$12)-(Information!$G$20*3.37)-(Information!$E$12*Information!$G$20*0.48)),0)</f>
        <v>0</v>
      </c>
      <c r="C17" s="23">
        <f>IF(Information!$C$13="New Alfalfa/Clover",(84+(12*Information!$E$13)-(Information!$G$21*3.37)-(Information!$E$13*Information!$G$21*0.48)),0)</f>
        <v>0</v>
      </c>
      <c r="D17" s="23">
        <f>IF(Information!$C$14="New Alfalfa/Clover",(84+(12*Information!$E$14)-(Information!$G$22*3.37)-(Information!$E$14*Information!$G$22*0.48)),0)</f>
        <v>0</v>
      </c>
      <c r="E17" s="23">
        <f>IF(Information!$C$15="New Alfalfa/Clover",(84+(12*Information!$E$15)-(Information!$G$23*3.37)-(Information!$E$15*Information!$G$23*0.48)),0)</f>
        <v>0</v>
      </c>
      <c r="G17" s="5" t="s">
        <v>279</v>
      </c>
      <c r="H17" s="23">
        <f>IF(Information!$F$12="New Alfalfa/Clover",(84+(12*Information!$H$12)-(Information!$G$20*3.37)-(Information!$H$12*Information!$G$20*0.48)),0)</f>
        <v>0</v>
      </c>
      <c r="I17" s="23">
        <f>IF(Information!$F$13="New Alfalfa/Clover",(84+(12*Information!$H$13)-(Information!$G$21*3.37)-(Information!$H$13*Information!$G$21*0.48)),0)</f>
        <v>0</v>
      </c>
      <c r="J17" s="23">
        <f>IF(Information!$F$14="New Alfalfa/Clover",(84+(12*Information!$H$14)-(Information!$G$22*3.37)-(Information!$H$14*Information!$G$22*0.48)),0)</f>
        <v>0</v>
      </c>
      <c r="K17" s="23">
        <f>IF(Information!$F$15="New Alfalfa/Clover",(84+(12*Information!$H$15)-(Information!$G$23*3.37)-(Information!$H$15*Information!$G$23*0.48)),0)</f>
        <v>0</v>
      </c>
      <c r="M17" s="5" t="s">
        <v>279</v>
      </c>
      <c r="N17" s="23">
        <f>IF(Information!$I$12="New Alfalfa/Clover",(84+(12*Information!$K$12)-(Information!$G$20*3.37)-(Information!$K$12*Information!$G$20*0.48)),0)</f>
        <v>0</v>
      </c>
      <c r="O17" s="23">
        <f>IF(Information!$I$13="New Alfalfa/Clover",(84+(12*Information!$K$13)-(Information!$G$21*3.37)-(Information!$K$13*Information!$G$21*0.48)),0)</f>
        <v>0</v>
      </c>
      <c r="P17" s="23">
        <f>IF(Information!$I$14="New Alfalfa/Clover",(84+(12*Information!$K$14)-(Information!$G$22*3.37)-(Information!$K$14*Information!$G$22*0.48)),0)</f>
        <v>0</v>
      </c>
      <c r="Q17" s="23">
        <f>IF(Information!$I$15="New Alfalfa/Clover",(84+(12*Information!$K$15)-(Information!$G$23*3.37)-(Information!$K$15*Information!$G$23*0.48)),0)</f>
        <v>0</v>
      </c>
    </row>
    <row r="18" spans="1:17" x14ac:dyDescent="0.2">
      <c r="A18" s="5" t="s">
        <v>32</v>
      </c>
      <c r="B18" s="23">
        <f>IF(Information!$C$12="Soybeans",(56+(0.51*Information!$E$12)-(Information!$G$20*2.8)-(Information!$E$12*Information!$G$20*0.0257)),0)</f>
        <v>0</v>
      </c>
      <c r="C18" s="23">
        <f>IF(Information!$C$13="Soybeans",(56+(0.51*Information!$E$13)-(Information!$G$21*2.8)-(Information!$E$13*Information!$G$21*0.0257)),0)</f>
        <v>0</v>
      </c>
      <c r="D18" s="23">
        <f>IF(Information!$C$14="Soybeans",(56+(0.51*Information!$E$14)-(Information!$G$22*2.8)-(Information!$E$14*Information!$G$22*0.0257)),0)</f>
        <v>0</v>
      </c>
      <c r="E18" s="23">
        <f>IF(Information!$C$15="Soybeans",(56+(0.51*Information!$E$15)-(Information!$G$23*2.8)-(Information!$E$15*Information!$G$23*0.0257)),0)</f>
        <v>0</v>
      </c>
      <c r="G18" s="5" t="s">
        <v>32</v>
      </c>
      <c r="H18" s="23">
        <f>IF(Information!$F$12="Soybeans",(56+(0.51*Information!$H$12)-(Information!$G$20*2.8)-(Information!$H$12*Information!$G$20*0.0257)),0)</f>
        <v>0</v>
      </c>
      <c r="I18" s="23">
        <f>IF(Information!$F$13="Soybeans",(56+(0.51*Information!$H$13)-(Information!$G$21*2.8)-(Information!$H$13*Information!$G$21*0.0257)),0)</f>
        <v>0</v>
      </c>
      <c r="J18" s="23">
        <f>IF(Information!$F$14="Soybeans",(56+(0.51*Information!$H$14)-(Information!$G$22*2.8)-(Information!$H$14*Information!$G$22*0.0257)),0)</f>
        <v>0</v>
      </c>
      <c r="K18" s="23">
        <f>IF(Information!$F$15="Soybeans",(56+(0.51*Information!$H$15)-(Information!$G$23*2.8)-(Information!$H$15*Information!$G$23*0.0257)),0)</f>
        <v>0</v>
      </c>
      <c r="M18" s="5" t="s">
        <v>32</v>
      </c>
      <c r="N18" s="23">
        <f>IF(Information!$I$12="Soybeans",(56+(0.51*Information!$K$12)-(Information!$G$20*2.8)-(Information!$K$12*Information!$G$20*0.0257)),0)</f>
        <v>0</v>
      </c>
      <c r="O18" s="23">
        <f>IF(Information!$I$13="Soybeans",(56+(0.51*Information!$K$13)-(Information!$G$21*2.8)-(Information!$K$13*Information!$G$21*0.0257)),0)</f>
        <v>0</v>
      </c>
      <c r="P18" s="23">
        <f>IF(Information!$I$14="Soybeans",(56+(0.51*Information!$K$14)-(Information!$G$22*2.8)-(Information!$K$14*Information!$G$22*0.0257)),0)</f>
        <v>0</v>
      </c>
      <c r="Q18" s="23">
        <f>IF(Information!$I$15="Soybeans",(56+(0.51*Information!$K$15)-(Information!$G$23*2.8)-(Information!$K$15*Information!$G$23*0.0257)),0)</f>
        <v>0</v>
      </c>
    </row>
    <row r="19" spans="1:17" ht="13.5" thickBot="1" x14ac:dyDescent="0.25">
      <c r="A19" s="12" t="s">
        <v>49</v>
      </c>
      <c r="B19" s="28">
        <f>IF(AND(Information!$C$12="Alfalfa",Information!$G$20&lt;25,Information!$G$20&gt;21),15,IF(Information!$C$12="Alfalfa",(73+(4.56*Information!$E$12)-(Information!$G$20*2.92)-(Information!$E$12*Information!$G$20*0.18)),0))</f>
        <v>0</v>
      </c>
      <c r="C19" s="28">
        <f>IF(AND(Information!$C$13="Alfalfa",Information!$G$21&lt;25,Information!$G$21&gt;21),15,IF(Information!$C$13="Alfalfa",(73+(4.56*Information!$E$13)-(Information!$G$21*2.92)-(Information!$E$13*Information!$G$21*0.18)),0))</f>
        <v>0</v>
      </c>
      <c r="D19" s="28">
        <f>IF(AND(Information!$C$14="Alfalfa",Information!$G$22&lt;25,Information!$G$22&gt;21),15,IF(Information!$C$14="Alfalfa",(73+(4.56*Information!$E$14)-(Information!$G$22*2.92)-(Information!$E$14*Information!$G$22*0.18)),0))</f>
        <v>0</v>
      </c>
      <c r="E19" s="28">
        <f>IF(AND(Information!$C$15="Alfalfa",Information!$G$23&lt;25,Information!$G$23&gt;21),15,IF(Information!$C$15="Alfalfa",(73+(4.56*Information!$E$15)-(Information!$G$23*2.92)-(Information!$E$15*Information!$G$23*0.18)),0))</f>
        <v>0</v>
      </c>
      <c r="G19" s="12" t="s">
        <v>49</v>
      </c>
      <c r="H19" s="28">
        <f>IF(AND(Information!$F$12="Alfalfa",Information!$G$20&lt;25,Information!$G$20&gt;21),15,IF(Information!$F$12="Alfalfa",(73+(4.56*Information!$H$12)-(Information!$G$20*2.92)-(Information!$H$12*Information!$G$20*0.18)),0))</f>
        <v>0</v>
      </c>
      <c r="I19" s="28">
        <f>IF(AND(Information!$F$13="Alfalfa",Information!$G$21&lt;25,Information!$G$21&gt;21),15,IF(Information!$F$13="Alfalfa",(73+(4.56*Information!$H$13)-(Information!$G$21*2.92)-(Information!$H$13*Information!$G$21*0.18)),0))</f>
        <v>0</v>
      </c>
      <c r="J19" s="28">
        <f>IF(AND(Information!$F$14="Alfalfa",Information!$G$22&lt;25,Information!$G$22&gt;21),15,IF(Information!$F$14="Alfalfa",(73+(4.56*Information!$H$14)-(Information!$G$22*2.92)-(Information!$H$14*Information!$G$22*0.18)),0))</f>
        <v>0</v>
      </c>
      <c r="K19" s="28">
        <f>IF(AND(Information!$F$15="Alfalfa",Information!$G$23&lt;25,Information!$G$23&gt;21),15,IF(Information!$F$15="Alfalfa",(73+(4.56*Information!$H$15)-(Information!$G$23*2.92)-(Information!$H$15*Information!$G$23*0.18)),0))</f>
        <v>0</v>
      </c>
      <c r="M19" s="12" t="s">
        <v>49</v>
      </c>
      <c r="N19" s="28">
        <f>IF(AND(Information!$I$12="Alfalfa",Information!$G$20&lt;25,Information!$G$20&gt;21),15,IF(Information!$I$12="Alfalfa",(73+(4.56*Information!$K$12)-(Information!$G$20*2.92)-(Information!$K$12*Information!$G$20*0.18)),0))</f>
        <v>0</v>
      </c>
      <c r="O19" s="28">
        <f>IF(AND(Information!$I$13="Alfalfa",Information!$G$21&lt;25,Information!$G$21&gt;21),15,IF(Information!$I$13="Alfalfa",(73+(4.56*Information!$K$13)-(Information!$G$21*2.92)-(Information!$K$13*Information!$G$21*0.18)),0))</f>
        <v>0</v>
      </c>
      <c r="P19" s="28">
        <f>IF(AND(Information!$I$14="Alfalfa",Information!$G$22&lt;25,Information!$G$22&gt;21),15,IF(Information!$I$14="Alfalfa",(73+(4.56*Information!$K$14)-(Information!$G$22*2.92)-(Information!$K$14*Information!$G$22*0.18)),0))</f>
        <v>0</v>
      </c>
      <c r="Q19" s="28">
        <f>IF(AND(Information!$I$15="Alfalfa",Information!$G$23&lt;25,Information!$G$23&gt;21),15,IF(Information!$I$15="Alfalfa",(73+(4.56*Information!$K$15)-(Information!$G$23*2.92)-(Information!$K$15*Information!$G$23*0.18)),0))</f>
        <v>0</v>
      </c>
    </row>
    <row r="20" spans="1:17" s="32" customFormat="1" ht="13.5" thickTop="1" x14ac:dyDescent="0.2">
      <c r="B20" s="31">
        <f>MROUND(IF(SUM(B4:B19)&lt;=12.4,0,IF(SUM(B4:B19)&gt;=80,80,SUM(B4:B19))),5)</f>
        <v>0</v>
      </c>
      <c r="C20" s="31">
        <f>MROUND(IF(SUM(C4:C19)&lt;=12.4,0,IF(SUM(C4:C19)&gt;=80,80,SUM(C4:C19))),5)</f>
        <v>0</v>
      </c>
      <c r="D20" s="31">
        <f>MROUND(IF(SUM(D4:D19)&lt;=12.4,0,IF(SUM(D4:D19)&gt;=80,80,SUM(D4:D19))),5)</f>
        <v>0</v>
      </c>
      <c r="E20" s="31">
        <f>MROUND(IF(SUM(E4:E19)&lt;=12.4,0,IF(SUM(E4:E19)&gt;=80,80,SUM(E4:E19))),5)</f>
        <v>0</v>
      </c>
      <c r="H20" s="31">
        <f>MROUND(IF(SUM(H4:H19)&lt;=12.4,0,IF(SUM(H4:H19)&gt;=80,80,SUM(H4:H19))),5)</f>
        <v>0</v>
      </c>
      <c r="I20" s="31">
        <f>MROUND(IF(SUM(I4:I19)&lt;=12.4,0,IF(SUM(I4:I19)&gt;=80,80,SUM(I4:I19))),5)</f>
        <v>0</v>
      </c>
      <c r="J20" s="31">
        <f>MROUND(IF(SUM(J4:J19)&lt;=12.4,0,IF(SUM(J4:J19)&gt;=80,80,SUM(J4:J19))),5)</f>
        <v>0</v>
      </c>
      <c r="K20" s="31">
        <f>MROUND(IF(SUM(K4:K19)&lt;=12.4,0,IF(SUM(K4:K19)&gt;=80,80,SUM(K4:K19))),5)</f>
        <v>0</v>
      </c>
      <c r="N20" s="31">
        <f>MROUND(IF(SUM(N4:N19)&lt;=12.4,0,IF(SUM(N4:N19)&gt;=80,80,SUM(N4:N19))),5)</f>
        <v>0</v>
      </c>
      <c r="O20" s="31">
        <f>MROUND(IF(SUM(O4:O19)&lt;=12.4,0,IF(SUM(O4:O19)&gt;=80,80,SUM(O4:O19))),5)</f>
        <v>0</v>
      </c>
      <c r="P20" s="31">
        <f>MROUND(IF(SUM(P4:P19)&lt;=12.4,0,IF(SUM(P4:P19)&gt;=80,80,SUM(P4:P19))),5)</f>
        <v>0</v>
      </c>
      <c r="Q20" s="31">
        <f>MROUND(IF(SUM(Q4:Q19)&lt;=12.4,0,IF(SUM(Q4:Q19)&gt;=80,80,SUM(Q4:Q19))),5)</f>
        <v>0</v>
      </c>
    </row>
    <row r="23" spans="1:17" x14ac:dyDescent="0.2">
      <c r="A23" s="27"/>
      <c r="B23" s="18"/>
      <c r="C23" s="18"/>
      <c r="D23" s="18"/>
      <c r="E23" s="18"/>
      <c r="G23" s="27"/>
      <c r="H23" s="18"/>
      <c r="I23" s="18"/>
      <c r="J23" s="18"/>
      <c r="K23" s="18"/>
      <c r="M23" s="27"/>
      <c r="N23" s="18"/>
      <c r="O23" s="18"/>
      <c r="P23" s="18"/>
      <c r="Q23" s="18"/>
    </row>
    <row r="24" spans="1:17" x14ac:dyDescent="0.2">
      <c r="A24" s="5"/>
      <c r="B24" s="23"/>
      <c r="C24" s="23"/>
      <c r="D24" s="23"/>
      <c r="E24" s="23"/>
      <c r="G24" s="5"/>
      <c r="H24" s="23"/>
      <c r="I24" s="23"/>
      <c r="J24" s="23"/>
      <c r="K24" s="23"/>
      <c r="M24" s="5"/>
      <c r="N24" s="23"/>
      <c r="O24" s="23"/>
      <c r="P24" s="23"/>
      <c r="Q24" s="23"/>
    </row>
    <row r="25" spans="1:17" x14ac:dyDescent="0.2">
      <c r="A25" s="5"/>
      <c r="G25" s="5"/>
      <c r="M25" s="5"/>
    </row>
    <row r="26" spans="1:17" x14ac:dyDescent="0.2">
      <c r="A26" s="5"/>
      <c r="G26" s="5"/>
      <c r="M26" s="5"/>
    </row>
    <row r="27" spans="1:17" x14ac:dyDescent="0.2">
      <c r="A27" s="5"/>
      <c r="G27" s="5"/>
      <c r="M27" s="5"/>
    </row>
    <row r="28" spans="1:17" x14ac:dyDescent="0.2">
      <c r="A28" s="5"/>
      <c r="G28" s="5"/>
      <c r="M28" s="5"/>
    </row>
    <row r="29" spans="1:17" x14ac:dyDescent="0.2">
      <c r="A29" s="5"/>
      <c r="G29" s="5"/>
      <c r="M29" s="5"/>
    </row>
    <row r="30" spans="1:17" x14ac:dyDescent="0.2">
      <c r="A30" s="5"/>
      <c r="G30" s="5"/>
      <c r="M30" s="5"/>
    </row>
    <row r="31" spans="1:17" x14ac:dyDescent="0.2">
      <c r="A31" s="5"/>
      <c r="G31" s="5"/>
      <c r="M31" s="5"/>
    </row>
    <row r="32" spans="1:17" x14ac:dyDescent="0.2">
      <c r="A32" s="5"/>
      <c r="G32" s="5"/>
      <c r="M32" s="5"/>
    </row>
    <row r="33" spans="1:13" x14ac:dyDescent="0.2">
      <c r="A33" s="5"/>
      <c r="G33" s="5"/>
      <c r="M33" s="5"/>
    </row>
    <row r="34" spans="1:13" x14ac:dyDescent="0.2">
      <c r="A34" s="5"/>
      <c r="G34" s="5"/>
      <c r="M34" s="5"/>
    </row>
    <row r="35" spans="1:13" x14ac:dyDescent="0.2">
      <c r="A35" s="5"/>
      <c r="G35" s="5"/>
      <c r="M35" s="5"/>
    </row>
    <row r="36" spans="1:13" x14ac:dyDescent="0.2">
      <c r="A36" s="6"/>
      <c r="G36" s="6"/>
      <c r="M36" s="6"/>
    </row>
  </sheetData>
  <mergeCells count="3">
    <mergeCell ref="A1:E1"/>
    <mergeCell ref="G1:K1"/>
    <mergeCell ref="M1:Q1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Q26"/>
  <sheetViews>
    <sheetView workbookViewId="0">
      <selection activeCell="V125" sqref="V125"/>
    </sheetView>
  </sheetViews>
  <sheetFormatPr defaultRowHeight="12.75" x14ac:dyDescent="0.2"/>
  <cols>
    <col min="1" max="1" width="28.28515625" customWidth="1"/>
    <col min="2" max="5" width="14.28515625" customWidth="1"/>
    <col min="7" max="7" width="28.28515625" customWidth="1"/>
    <col min="8" max="11" width="14.28515625" customWidth="1"/>
    <col min="13" max="13" width="28.28515625" customWidth="1"/>
    <col min="14" max="17" width="14.28515625" customWidth="1"/>
  </cols>
  <sheetData>
    <row r="1" spans="1:17" ht="18.75" customHeight="1" thickBot="1" x14ac:dyDescent="0.3">
      <c r="A1" s="244" t="s">
        <v>60</v>
      </c>
      <c r="B1" s="244"/>
      <c r="C1" s="244"/>
      <c r="D1" s="244"/>
      <c r="E1" s="244"/>
      <c r="F1" s="30"/>
      <c r="G1" s="244" t="s">
        <v>69</v>
      </c>
      <c r="H1" s="244"/>
      <c r="I1" s="244"/>
      <c r="J1" s="244"/>
      <c r="K1" s="244"/>
      <c r="M1" s="244" t="s">
        <v>70</v>
      </c>
      <c r="N1" s="244"/>
      <c r="O1" s="244"/>
      <c r="P1" s="244"/>
      <c r="Q1" s="244"/>
    </row>
    <row r="2" spans="1:17" ht="14.25" thickTop="1" thickBot="1" x14ac:dyDescent="0.25">
      <c r="A2" s="8" t="s">
        <v>63</v>
      </c>
      <c r="B2" s="9" t="s">
        <v>64</v>
      </c>
      <c r="C2" s="9" t="s">
        <v>65</v>
      </c>
      <c r="D2" s="9" t="s">
        <v>66</v>
      </c>
      <c r="E2" s="9" t="s">
        <v>67</v>
      </c>
      <c r="G2" s="8" t="s">
        <v>63</v>
      </c>
      <c r="H2" s="9" t="s">
        <v>64</v>
      </c>
      <c r="I2" s="9" t="s">
        <v>65</v>
      </c>
      <c r="J2" s="9" t="s">
        <v>66</v>
      </c>
      <c r="K2" s="9" t="s">
        <v>67</v>
      </c>
      <c r="M2" s="8" t="s">
        <v>63</v>
      </c>
      <c r="N2" s="9" t="s">
        <v>64</v>
      </c>
      <c r="O2" s="9" t="s">
        <v>65</v>
      </c>
      <c r="P2" s="9" t="s">
        <v>66</v>
      </c>
      <c r="Q2" s="9" t="s">
        <v>67</v>
      </c>
    </row>
    <row r="3" spans="1:17" x14ac:dyDescent="0.2">
      <c r="B3" s="7"/>
      <c r="C3" s="7"/>
      <c r="D3" s="7"/>
      <c r="E3" s="7"/>
      <c r="H3" s="7"/>
      <c r="I3" s="7"/>
      <c r="J3" s="7"/>
      <c r="K3" s="7"/>
      <c r="N3" s="7"/>
      <c r="O3" s="7"/>
      <c r="P3" s="7"/>
      <c r="Q3" s="7"/>
    </row>
    <row r="4" spans="1:17" x14ac:dyDescent="0.2">
      <c r="A4" s="5" t="s">
        <v>30</v>
      </c>
      <c r="B4" s="23">
        <f>IF(Information!$C$12="Corn",(73+(0.21*Information!$E$12)-(Information!$H$20*0.565)-(Information!$E$12*Information!$H$20*0.0016)),0)</f>
        <v>0</v>
      </c>
      <c r="C4" s="23">
        <f>IF(Information!$C$13="Corn",(73+(0.21*Information!$E$13)-(Information!$H$21*0.565)-(Information!$E$13*Information!$H$21*0.0016)),0)</f>
        <v>0</v>
      </c>
      <c r="D4" s="23">
        <f>IF(Information!$C$14="Corn",(73+(0.21*Information!$E$14)-(Information!$H$22*0.565)-(Information!$E$14*Information!$H$22*0.0016)),0)</f>
        <v>0</v>
      </c>
      <c r="E4" s="23">
        <f>IF(Information!$C$15="Corn",(73+(0.21*Information!$E$15)-(Information!$H$23*0.565)-(Information!$E$15*Information!$H$23*0.0016)),0)</f>
        <v>0</v>
      </c>
      <c r="G4" s="5" t="s">
        <v>30</v>
      </c>
      <c r="H4" s="23">
        <f>IF(Information!$F$12="Corn",(73+(0.21*Information!$H$12)-(Information!$H$20*0.565)-(Information!$H$12*Information!$H$20*0.0016)),0)</f>
        <v>0</v>
      </c>
      <c r="I4" s="23">
        <f>IF(Information!$F$13="Corn",(73+(0.21*Information!$H$13)-(Information!$H$21*0.565)-(Information!$H$13*Information!$H$21*0.0016)),0)</f>
        <v>0</v>
      </c>
      <c r="J4" s="23">
        <f>IF(Information!$F$14="Corn",(73+(0.21*Information!$H$14)-(Information!$H$22*0.565)-(Information!$H$14*Information!$H$22*0.0016)),0)</f>
        <v>0</v>
      </c>
      <c r="K4" s="23">
        <f>IF(Information!$F$15="Corn",(73+(0.21*Information!$H$15)-(Information!$H$23*0.565)-(Information!$H$15*Information!$H$23*0.0016)),0)</f>
        <v>0</v>
      </c>
      <c r="M4" s="5" t="s">
        <v>30</v>
      </c>
      <c r="N4" s="23">
        <f>IF(Information!$I$12="Corn",(73+(0.21*Information!$K$12)-(Information!$H$20*0.565)-(Information!$K$12*Information!$H$20*0.0016)),0)</f>
        <v>0</v>
      </c>
      <c r="O4" s="23">
        <f>IF(Information!$I$13="Corn",(73+(0.21*Information!$K$13)-(Information!$H$21*0.565)-(Information!$K$13*Information!$H$21*0.0016)),0)</f>
        <v>0</v>
      </c>
      <c r="P4" s="23">
        <f>IF(Information!$I$14="Corn",(73+(0.21*Information!$K$14)-(Information!$H$22*0.565)-(Information!$K$14*Information!$H$22*0.0016)),0)</f>
        <v>0</v>
      </c>
      <c r="Q4" s="23">
        <f>IF(Information!$I$15="Corn",(73+(0.21*Information!$K$15)-(Information!$H$23*0.565)-(Information!$K$15*Information!$H$23*0.0016)),0)</f>
        <v>0</v>
      </c>
    </row>
    <row r="5" spans="1:17" x14ac:dyDescent="0.2">
      <c r="A5" s="5" t="s">
        <v>38</v>
      </c>
      <c r="B5" s="23">
        <f>IF(Information!$C$12="Wheat",(62+(0.24*Information!$E$12)-(Information!$H$20*0.48)-(Information!$E$12*Information!$H$20*0.0018)),0)</f>
        <v>0</v>
      </c>
      <c r="C5" s="23">
        <f>IF(Information!$C$13="Wheat",(62+(0.24*Information!$E$13)-(Information!$H$21*0.48)-(Information!$E$13*Information!$H$21*0.0018)),0)</f>
        <v>0</v>
      </c>
      <c r="D5" s="23">
        <f>IF(Information!$C$14="Wheat",(62+(0.24*Information!$E$14)-(Information!$H$22*0.48)-(Information!$E$14*Information!$H$22*0.0018)),0)</f>
        <v>0</v>
      </c>
      <c r="E5" s="23">
        <f>IF(Information!$C$15="Wheat",(62+(0.24*Information!$E$15)-(Information!$H$23*0.48)-(Information!$E$15*Information!$H$23*0.0018)),0)</f>
        <v>0</v>
      </c>
      <c r="G5" s="5" t="s">
        <v>38</v>
      </c>
      <c r="H5" s="23">
        <f>IF(Information!$F$12="Wheat",(62+(0.24*Information!$H$12)-(Information!$H$20*0.48)-(Information!$H$12*Information!$H$20*0.0018)),0)</f>
        <v>0</v>
      </c>
      <c r="I5" s="23">
        <f>IF(Information!$F$13="Wheat",(62+(0.24*Information!$H$13)-(Information!$H$21*0.48)-(Information!$H$13*Information!$H$21*0.0018)),0)</f>
        <v>0</v>
      </c>
      <c r="J5" s="23">
        <f>IF(Information!$F$14="Wheat",(62+(0.24*Information!$H$14)-(Information!$H$22*0.48)-(Information!$H$14*Information!$H$22*0.0018)),0)</f>
        <v>0</v>
      </c>
      <c r="K5" s="23">
        <f>IF(Information!$F$15="Wheat",(62+(0.24*Information!$H$15)-(Information!$H$23*0.48)-(Information!$H$15*Information!$H$23*0.0018)),0)</f>
        <v>0</v>
      </c>
      <c r="M5" s="5" t="s">
        <v>38</v>
      </c>
      <c r="N5" s="23">
        <f>IF(Information!$I$12="Wheat",(62+(0.24*Information!$K$12)-(Information!$H$20*0.48)-(Information!$K$12*Information!$H$20*0.0018)),0)</f>
        <v>0</v>
      </c>
      <c r="O5" s="23">
        <f>IF(Information!$I$13="Wheat",(62+(0.24*Information!$K$13)-(Information!$H$21*0.48)-(Information!$K$13*Information!$H$21*0.0018)),0)</f>
        <v>0</v>
      </c>
      <c r="P5" s="23">
        <f>IF(Information!$I$14="Wheat",(62+(0.24*Information!$K$14)-(Information!$H$22*0.48)-(Information!$K$14*Information!$H$22*0.0018)),0)</f>
        <v>0</v>
      </c>
      <c r="Q5" s="23">
        <f>IF(Information!$I$15="Wheat",(62+(0.24*Information!$K$15)-(Information!$H$23*0.48)-(Information!$K$15*Information!$H$23*0.0018)),0)</f>
        <v>0</v>
      </c>
    </row>
    <row r="6" spans="1:17" x14ac:dyDescent="0.2">
      <c r="A6" s="5" t="s">
        <v>39</v>
      </c>
      <c r="B6" s="23">
        <f>IF(Information!$C$12="Grain Sorghum",(80+(0.17*Information!$E$12)-(Information!$H$20*0.616)-(Information!$E$12*Information!$H$20*0.0013)),0)</f>
        <v>0</v>
      </c>
      <c r="C6" s="23">
        <f>IF(Information!$C$13="Grain Sorghum",(80+(0.17*Information!$E$13)-(Information!$H$21*0.616)-(Information!$E$13*Information!$H$21*0.0013)),0)</f>
        <v>0</v>
      </c>
      <c r="D6" s="23">
        <f>IF(Information!$C$14="Grain Sorghum",(80+(0.17*Information!$E$14)-(Information!$H$22*0.616)-(Information!$E$14*Information!$H$22*0.0013)),0)</f>
        <v>0</v>
      </c>
      <c r="E6" s="23">
        <f>IF(Information!$C$15="Grain Sorghum",(80+(0.17*Information!$E$15)-(Information!$H$23*0.616)-(Information!$E$15*Information!$H$23*0.0013)),0)</f>
        <v>0</v>
      </c>
      <c r="G6" s="5" t="s">
        <v>39</v>
      </c>
      <c r="H6" s="23">
        <f>IF(Information!$F$12="Grain Sorghum",(80+(0.17*Information!$H$12)-(Information!$H$20*0.616)-(Information!$H$12*Information!$H$20*0.0013)),0)</f>
        <v>0</v>
      </c>
      <c r="I6" s="23">
        <f>IF(Information!$F$13="Grain Sorghum",(80+(0.17*Information!$H$13)-(Information!$H$21*0.616)-(Information!$H$13*Information!$H$21*0.0013)),0)</f>
        <v>0</v>
      </c>
      <c r="J6" s="23">
        <f>IF(Information!$F$14="Grain Sorghum",(80+(0.17*Information!$H$14)-(Information!$H$22*0.616)-(Information!$H$14*Information!$H$22*0.0013)),0)</f>
        <v>0</v>
      </c>
      <c r="K6" s="23">
        <f>IF(Information!$F$15="Grain Sorghum",(80+(0.17*Information!$H$15)-(Information!$H$23*0.616)-(Information!$H$15*Information!$H$23*0.0013)),0)</f>
        <v>0</v>
      </c>
      <c r="M6" s="5" t="s">
        <v>39</v>
      </c>
      <c r="N6" s="23">
        <f>IF(Information!$I$12="Grain Sorghum",(80+(0.17*Information!$K$12)-(Information!$H$20*0.616)-(Information!$K$12*Information!$H$20*0.0013)),0)</f>
        <v>0</v>
      </c>
      <c r="O6" s="23">
        <f>IF(Information!$I$13="Grain Sorghum",(80+(0.17*Information!$K$13)-(Information!$H$21*0.616)-(Information!$K$13*Information!$H$21*0.0013)),0)</f>
        <v>0</v>
      </c>
      <c r="P6" s="23">
        <f>IF(Information!$I$14="Grain Sorghum",(80+(0.17*Information!$K$14)-(Information!$H$22*0.616)-(Information!$K$14*Information!$H$22*0.0013)),0)</f>
        <v>0</v>
      </c>
      <c r="Q6" s="23">
        <f>IF(Information!$I$15="Grain Sorghum",(80+(0.17*Information!$K$15)-(Information!$H$23*0.616)-(Information!$K$15*Information!$H$23*0.0013)),0)</f>
        <v>0</v>
      </c>
    </row>
    <row r="7" spans="1:17" x14ac:dyDescent="0.2">
      <c r="A7" s="5" t="s">
        <v>40</v>
      </c>
      <c r="B7" s="23">
        <f>IF(Information!$C$12="Silage-Corn",(74+(1.5*Information!$E$12)-(Information!$H$20*0.567)-(Information!$E$12*Information!$H$20*0.0115)),0)</f>
        <v>0</v>
      </c>
      <c r="C7" s="23">
        <f>IF(Information!$C$13="Silage-Corn",(74+(1.5*Information!$E$13)-(Information!$H$21*0.567)-(Information!$E$13*Information!$H$21*0.0115)),0)</f>
        <v>0</v>
      </c>
      <c r="D7" s="23">
        <f>IF(Information!$C$14="Silage-Corn",(74+(1.5*Information!$E$14)-(Information!$H$22*0.567)-(Information!$E$14*Information!$H$22*0.0115)),0)</f>
        <v>0</v>
      </c>
      <c r="E7" s="23">
        <f>IF(Information!$C$15="Silage-Corn",(74+(1.5*Information!$E$15)-(Information!$H$23*0.567)-(Information!$E$15*Information!$H$23*0.0115)),0)</f>
        <v>0</v>
      </c>
      <c r="G7" s="5" t="s">
        <v>40</v>
      </c>
      <c r="H7" s="23">
        <f>IF(Information!$F$12="Silage-Corn",(74+(1.5*Information!$H$12)-(Information!$H$20*0.567)-(Information!$H$12*Information!$H$20*0.0115)),0)</f>
        <v>0</v>
      </c>
      <c r="I7" s="23">
        <f>IF(Information!$F$13="Silage-Corn",(74+(1.5*Information!$H$13)-(Information!$H$21*0.567)-(Information!$H$13*Information!$H$21*0.0115)),0)</f>
        <v>0</v>
      </c>
      <c r="J7" s="23">
        <f>IF(Information!$F$14="Silage-Corn",(74+(1.5*Information!$H$14)-(Information!$H$22*0.567)-(Information!$H$14*Information!$H$22*0.0115)),0)</f>
        <v>0</v>
      </c>
      <c r="K7" s="23">
        <f>IF(Information!$F$15="Silage-Corn",(74+(1.5*Information!$H$15)-(Information!$H$23*0.567)-(Information!$H$15*Information!$H$23*0.0115)),0)</f>
        <v>0</v>
      </c>
      <c r="M7" s="5" t="s">
        <v>40</v>
      </c>
      <c r="N7" s="23">
        <f>IF(Information!$I$12="Silage-Corn",(74+(1.5*Information!$K$12)-(Information!$H$20*0.567)-(Information!$K$12*Information!$H$20*0.0115)),0)</f>
        <v>0</v>
      </c>
      <c r="O7" s="23">
        <f>IF(Information!$I$13="Silage-Corn",(74+(1.5*Information!$K$13)-(Information!$H$21*0.567)-(Information!$K$13*Information!$H$21*0.0115)),0)</f>
        <v>0</v>
      </c>
      <c r="P7" s="23">
        <f>IF(Information!$I$14="Silage-Corn",(74+(1.5*Information!$K$14)-(Information!$H$22*0.567)-(Information!$K$14*Information!$H$22*0.0115)),0)</f>
        <v>0</v>
      </c>
      <c r="Q7" s="23">
        <f>IF(Information!$I$15="Silage-Corn",(74+(1.5*Information!$K$15)-(Information!$H$23*0.567)-(Information!$K$15*Information!$H$23*0.0115)),0)</f>
        <v>0</v>
      </c>
    </row>
    <row r="8" spans="1:17" x14ac:dyDescent="0.2">
      <c r="A8" s="5" t="s">
        <v>41</v>
      </c>
      <c r="B8" s="23">
        <f>IF(Information!$C$12="Silage-Sorghum",(73+(1.8*Information!$E$12)-(Information!$H$20*0.56)-(Information!$E$12*Information!$H$20*0.0139)),0)</f>
        <v>0</v>
      </c>
      <c r="C8" s="23">
        <f>IF(Information!$C$13="Silage-Sorghum",(73+(1.8*Information!$E$13)-(Information!$H$21*0.56)-(Information!$E$13*Information!$H$21*0.0139)),0)</f>
        <v>0</v>
      </c>
      <c r="D8" s="23">
        <f>IF(Information!$C$14="Silage-Sorghum",(73+(1.8*Information!$E$14)-(Information!$H$22*0.56)-(Information!$E$14*Information!$H$22*0.0139)),0)</f>
        <v>0</v>
      </c>
      <c r="E8" s="23">
        <f>IF(Information!$C$15="Silage-Sorghum",(73+(1.8*Information!$E$15)-(Information!$H$23*0.56)-(Information!$E$15*Information!$H$23*0.0139)),0)</f>
        <v>0</v>
      </c>
      <c r="G8" s="5" t="s">
        <v>41</v>
      </c>
      <c r="H8" s="23">
        <f>IF(Information!$F$12="Silage-Sorghum",(73+(1.8*Information!$H$12)-(Information!$H$20*0.56)-(Information!$H$12*Information!$H$20*0.0139)),0)</f>
        <v>0</v>
      </c>
      <c r="I8" s="23">
        <f>IF(Information!$F$13="Silage-Sorghum",(73+(1.8*Information!$H$13)-(Information!$H$21*0.56)-(Information!$H$13*Information!$H$21*0.0139)),0)</f>
        <v>0</v>
      </c>
      <c r="J8" s="23">
        <f>IF(Information!$F$14="Silage-Sorghum",(73+(1.8*Information!$H$14)-(Information!$H$22*0.56)-(Information!$H$14*Information!$H$22*0.0139)),0)</f>
        <v>0</v>
      </c>
      <c r="K8" s="23">
        <f>IF(Information!$F$15="Silage-Sorghum",(73+(1.8*Information!$H$15)-(Information!$H$23*0.56)-(Information!$H$15*Information!$H$23*0.0139)),0)</f>
        <v>0</v>
      </c>
      <c r="M8" s="5" t="s">
        <v>41</v>
      </c>
      <c r="N8" s="23">
        <f>IF(Information!$I$12="Silage-Sorghum",(73+(1.8*Information!$K$12)-(Information!$H$20*0.56)-(Information!$K$12*Information!$H$20*0.0139)),0)</f>
        <v>0</v>
      </c>
      <c r="O8" s="23">
        <f>IF(Information!$I$13="Silage-Sorghum",(73+(1.8*Information!$K$13)-(Information!$H$21*0.56)-(Information!$K$13*Information!$H$21*0.0139)),0)</f>
        <v>0</v>
      </c>
      <c r="P8" s="23">
        <f>IF(Information!$I$14="Silage-Sorghum",(73+(1.8*Information!$K$14)-(Information!$H$22*0.56)-(Information!$K$14*Information!$H$22*0.0139)),0)</f>
        <v>0</v>
      </c>
      <c r="Q8" s="23">
        <f>IF(Information!$I$15="Silage-Sorghum",(73+(1.8*Information!$K$15)-(Information!$H$23*0.56)-(Information!$K$15*Information!$H$23*0.0139)),0)</f>
        <v>0</v>
      </c>
    </row>
    <row r="9" spans="1:17" x14ac:dyDescent="0.2">
      <c r="A9" s="5" t="s">
        <v>42</v>
      </c>
      <c r="B9" s="23">
        <f>IF(Information!$C$12="Sunflower",(81+(0.0081*Information!$E$12)-(Information!$H$20*0.622)-(Information!$E$12*Information!$H$20*0.000062)),0)</f>
        <v>0</v>
      </c>
      <c r="C9" s="23">
        <f>IF(Information!$C$13="Sunflower",(81+(0.0081*Information!$E$13)-(Information!$H$21*0.622)-(Information!$E$13*Information!$H$21*0.000062)),0)</f>
        <v>0</v>
      </c>
      <c r="D9" s="23">
        <f>IF(Information!$C$14="Sunflower",(81+(0.0081*Information!$E$14)-(Information!$H$22*0.622)-(Information!$E$14*Information!$H$22*0.000062)),0)</f>
        <v>0</v>
      </c>
      <c r="E9" s="23">
        <f>IF(Information!$C$15="Sunflower",(81+(0.0081*Information!$E$15)-(Information!$H$23*0.622)-(Information!$E$15*Information!$H$23*0.000062)),0)</f>
        <v>0</v>
      </c>
      <c r="G9" s="5" t="s">
        <v>42</v>
      </c>
      <c r="H9" s="23">
        <f>IF(Information!$F$12="Sunflower",(81+(0.0081*Information!$H$12)-(Information!$H$20*0.622)-(Information!$H$12*Information!$H$20*0.000062)),0)</f>
        <v>0</v>
      </c>
      <c r="I9" s="23">
        <f>IF(Information!$F$13="Sunflower",(81+(0.0081*Information!$H$13)-(Information!$H$21*0.622)-(Information!$H$13*Information!$H$21*0.000062)),0)</f>
        <v>0</v>
      </c>
      <c r="J9" s="23">
        <f>IF(Information!$F$14="Sunflower",(81+(0.0081*Information!$H$14)-(Information!$H$22*0.622)-(Information!$H$14*Information!$H$22*0.000062)),0)</f>
        <v>0</v>
      </c>
      <c r="K9" s="23">
        <f>IF(Information!$F$15="Sunflower",(81+(0.0081*Information!$H$15)-(Information!$H$23*0.622)-(Information!$H$15*Information!$H$23*0.000062)),0)</f>
        <v>0</v>
      </c>
      <c r="M9" s="5" t="s">
        <v>42</v>
      </c>
      <c r="N9" s="23">
        <f>IF(Information!$I$12="Sunflower",(81+(0.0081*Information!$K$12)-(Information!$H$20*0.622)-(Information!$K$12*Information!$H$20*0.000062)),0)</f>
        <v>0</v>
      </c>
      <c r="O9" s="23">
        <f>IF(Information!$I$13="Sunflower",(81+(0.0081*Information!$K$13)-(Information!$H$21*0.622)-(Information!$K$13*Information!$H$21*0.000062)),0)</f>
        <v>0</v>
      </c>
      <c r="P9" s="23">
        <f>IF(Information!$I$14="Sunflower",(81+(0.0081*Information!$K$14)-(Information!$H$22*0.622)-(Information!$K$14*Information!$H$22*0.000062)),0)</f>
        <v>0</v>
      </c>
      <c r="Q9" s="23">
        <f>IF(Information!$I$15="Sunflower",(81+(0.0081*Information!$K$15)-(Information!$H$23*0.622)-(Information!$K$15*Information!$H$23*0.000062)),0)</f>
        <v>0</v>
      </c>
    </row>
    <row r="10" spans="1:17" x14ac:dyDescent="0.2">
      <c r="A10" s="5" t="s">
        <v>43</v>
      </c>
      <c r="B10" s="23">
        <f>IF(Information!$C$12="Oats",(62+(0.221*Information!$E$12)-(Information!$H$20*0.48)-(Information!$E$12*Information!$H$20*0.0017)),0)</f>
        <v>0</v>
      </c>
      <c r="C10" s="23">
        <f>IF(Information!$C$13="Oats",(62+(0.221*Information!$E$13)-(Information!$H$21*0.48)-(Information!$E$13*Information!$H$21*0.0017)),0)</f>
        <v>0</v>
      </c>
      <c r="D10" s="23">
        <f>IF(Information!$C$14="Oats",(62+(0.221*Information!$E$14)-(Information!$H$22*0.48)-(Information!$E$14*Information!$H$22*0.0017)),0)</f>
        <v>0</v>
      </c>
      <c r="E10" s="23">
        <f>IF(Information!$C$15="Oats",(62+(0.221*Information!$E$15)-(Information!$H$23*0.48)-(Information!$E$15*Information!$H$23*0.0017)),0)</f>
        <v>0</v>
      </c>
      <c r="G10" s="5" t="s">
        <v>43</v>
      </c>
      <c r="H10" s="23">
        <f>IF(Information!$F$12="Oats",(62+(0.221*Information!$H$12)-(Information!$H$20*0.48)-(Information!$H$12*Information!$H$20*0.0017)),0)</f>
        <v>0</v>
      </c>
      <c r="I10" s="23">
        <f>IF(Information!$F$13="Oats",(62+(0.221*Information!$H$13)-(Information!$H$21*0.48)-(Information!$H$13*Information!$H$21*0.0017)),0)</f>
        <v>0</v>
      </c>
      <c r="J10" s="23">
        <f>IF(Information!$F$14="Oats",(62+(0.221*Information!$H$14)-(Information!$H$22*0.48)-(Information!$H$14*Information!$H$22*0.0017)),0)</f>
        <v>0</v>
      </c>
      <c r="K10" s="23">
        <f>IF(Information!$F$15="Oats",(62+(0.221*Information!$H$15)-(Information!$H$23*0.48)-(Information!$H$15*Information!$H$23*0.0017)),0)</f>
        <v>0</v>
      </c>
      <c r="M10" s="5" t="s">
        <v>43</v>
      </c>
      <c r="N10" s="23">
        <f>IF(Information!$I$12="Oats",(62+(0.221*Information!$K$12)-(Information!$H$20*0.48)-(Information!$K$12*Information!$H$20*0.0017)),0)</f>
        <v>0</v>
      </c>
      <c r="O10" s="23">
        <f>IF(Information!$I$13="Oats",(62+(0.221*Information!$K$13)-(Information!$H$21*0.48)-(Information!$K$13*Information!$H$21*0.0017)),0)</f>
        <v>0</v>
      </c>
      <c r="P10" s="23">
        <f>IF(Information!$I$14="Oats",(62+(0.221*Information!$K$14)-(Information!$H$22*0.48)-(Information!$K$14*Information!$H$22*0.0017)),0)</f>
        <v>0</v>
      </c>
      <c r="Q10" s="23">
        <f>IF(Information!$I$15="Oats",(62+(0.221*Information!$K$15)-(Information!$H$23*0.48)-(Information!$K$15*Information!$H$23*0.0017)),0)</f>
        <v>0</v>
      </c>
    </row>
    <row r="11" spans="1:17" x14ac:dyDescent="0.2">
      <c r="A11" s="5" t="s">
        <v>56</v>
      </c>
      <c r="B11" s="23">
        <f>IF(Information!$C$12="Brome",(41+(5.85*Information!$E$12)-(Information!$H$20*0.315)-(Information!$E$12*Information!$H$20*0.045)),0)</f>
        <v>0</v>
      </c>
      <c r="C11" s="23">
        <f>IF(Information!$C$13="Brome",(41+(5.85*Information!$E$13)-(Information!$H$21*0.315)-(Information!$E$13*Information!$H$21*0.045)),0)</f>
        <v>0</v>
      </c>
      <c r="D11" s="23">
        <f>IF(Information!$C$14="Brome",(41+(5.85*Information!$E$14)-(Information!$H$22*0.315)-(Information!$E$14*Information!$H$22*0.045)),0)</f>
        <v>0</v>
      </c>
      <c r="E11" s="23">
        <f>IF(Information!$C$15="Brome",(41+(5.85*Information!$E$15)-(Information!$H$23*0.315)-(Information!$E$15*Information!$H$23*0.045)),0)</f>
        <v>0</v>
      </c>
      <c r="G11" s="5" t="s">
        <v>56</v>
      </c>
      <c r="H11" s="23">
        <f>IF(Information!$F$12="Brome",(41+(5.85*Information!$H$12)-(Information!$H$20*0.315)-(Information!$H$12*Information!$H$20*0.045)),0)</f>
        <v>0</v>
      </c>
      <c r="I11" s="23">
        <f>IF(Information!$F$13="Brome",(41+(5.85*Information!$H$13)-(Information!$H$21*0.315)-(Information!$H$13*Information!$H$21*0.045)),0)</f>
        <v>0</v>
      </c>
      <c r="J11" s="23">
        <f>IF(Information!$F$14="Brome",(41+(5.85*Information!$H$14)-(Information!$H$22*0.315)-(Information!$H$14*Information!$H$22*0.045)),0)</f>
        <v>0</v>
      </c>
      <c r="K11" s="23">
        <f>IF(Information!$F$15="Brome",(41+(5.85*Information!$H$15)-(Information!$H$23*0.315)-(Information!$H$15*Information!$H$23*0.045)),0)</f>
        <v>0</v>
      </c>
      <c r="M11" s="5" t="s">
        <v>56</v>
      </c>
      <c r="N11" s="23">
        <f>IF(Information!$I$12="Brome",(41+(5.85*Information!$K$12)-(Information!$H$20*0.315)-(Information!$K$12*Information!$H$20*0.045)),0)</f>
        <v>0</v>
      </c>
      <c r="O11" s="23">
        <f>IF(Information!$I$13="Brome",(41+(5.85*Information!$K$13)-(Information!$H$21*0.315)-(Information!$K$13*Information!$H$21*0.045)),0)</f>
        <v>0</v>
      </c>
      <c r="P11" s="23">
        <f>IF(Information!$I$14="Brome",(41+(5.85*Information!$K$14)-(Information!$H$22*0.315)-(Information!$K$14*Information!$H$22*0.045)),0)</f>
        <v>0</v>
      </c>
      <c r="Q11" s="23">
        <f>IF(Information!$I$15="Brome",(41+(5.85*Information!$K$15)-(Information!$H$23*0.315)-(Information!$K$15*Information!$H$23*0.045)),0)</f>
        <v>0</v>
      </c>
    </row>
    <row r="12" spans="1:17" x14ac:dyDescent="0.2">
      <c r="A12" s="5" t="s">
        <v>44</v>
      </c>
      <c r="B12" s="23">
        <f>IF(Information!$C$12="Fescue",(41+(5.85*Information!$E$12)-(Information!$H$20*0.315)-(Information!$E$12*Information!$H$20*0.045)),0)</f>
        <v>0</v>
      </c>
      <c r="C12" s="23">
        <f>IF(Information!$C$13="Fescue",(41+(5.85*Information!$E$13)-(Information!$H$21*0.315)-(Information!$E$13*Information!$H$21*0.045)),0)</f>
        <v>0</v>
      </c>
      <c r="D12" s="23">
        <f>IF(Information!$C$14="Fescue",(41+(5.85*Information!$E$14)-(Information!$H$22*0.315)-(Information!$E$14*Information!$H$22*0.045)),0)</f>
        <v>0</v>
      </c>
      <c r="E12" s="23">
        <f>IF(Information!$C$15="Fescue",(41+(5.85*Information!$E$15)-(Information!$H$23*0.315)-(Information!$E$15*Information!$H$23*0.045)),0)</f>
        <v>0</v>
      </c>
      <c r="G12" s="5" t="s">
        <v>44</v>
      </c>
      <c r="H12" s="23">
        <f>IF(Information!$F$12="Fescue",(41+(5.85*Information!$H$12)-(Information!$H$20*0.315)-(Information!$H$12*Information!$H$20*0.045)),0)</f>
        <v>0</v>
      </c>
      <c r="I12" s="23">
        <f>IF(Information!$F$13="Fescue",(41+(5.85*Information!$H$13)-(Information!$H$21*0.315)-(Information!$H$13*Information!$H$21*0.045)),0)</f>
        <v>0</v>
      </c>
      <c r="J12" s="23">
        <f>IF(Information!$F$14="Fescue",(41+(5.85*Information!$H$14)-(Information!$H$22*0.315)-(Information!$H$14*Information!$H$22*0.045)),0)</f>
        <v>0</v>
      </c>
      <c r="K12" s="23">
        <f>IF(Information!$F$15="Fescue",(41+(5.85*Information!$H$15)-(Information!$H$23*0.315)-(Information!$H$15*Information!$H$23*0.045)),0)</f>
        <v>0</v>
      </c>
      <c r="M12" s="5" t="s">
        <v>44</v>
      </c>
      <c r="N12" s="23">
        <f>IF(Information!$I$12="Fescue",(41+(5.85*Information!$K$12)-(Information!$H$20*0.315)-(Information!$K$12*Information!$H$20*0.045)),0)</f>
        <v>0</v>
      </c>
      <c r="O12" s="23">
        <f>IF(Information!$I$13="Fescue",(41+(5.85*Information!$K$13)-(Information!$H$21*0.315)-(Information!$K$13*Information!$H$21*0.045)),0)</f>
        <v>0</v>
      </c>
      <c r="P12" s="23">
        <f>IF(Information!$I$14="Fescue",(41+(5.85*Information!$K$14)-(Information!$H$22*0.315)-(Information!$K$14*Information!$H$22*0.045)),0)</f>
        <v>0</v>
      </c>
      <c r="Q12" s="23">
        <f>IF(Information!$I$15="Fescue",(41+(5.85*Information!$K$15)-(Information!$H$23*0.315)-(Information!$K$15*Information!$H$23*0.045)),0)</f>
        <v>0</v>
      </c>
    </row>
    <row r="13" spans="1:17" x14ac:dyDescent="0.2">
      <c r="A13" s="5" t="s">
        <v>45</v>
      </c>
      <c r="B13" s="23">
        <f>IF(Information!$C$12="Bermuda",(75+(6.25*Information!$E$12)-(Information!$H$20*0.5)-(Information!$E$12*Information!$H$20*0.042)),0)</f>
        <v>0</v>
      </c>
      <c r="C13" s="23">
        <f>IF(Information!$C$13="Bermuda",(75+(6.25*Information!$E$13)-(Information!$H$21*0.5)-(Information!$E$13*Information!$H$21*0.042)),0)</f>
        <v>0</v>
      </c>
      <c r="D13" s="23">
        <f>IF(Information!$C$14="Bermuda",(75+(6.25*Information!$E$14)-(Information!$H$22*0.5)-(Information!$E$14*Information!$H$22*0.042)),0)</f>
        <v>0</v>
      </c>
      <c r="E13" s="23">
        <f>IF(Information!$C$15="Bermuda",(75+(6.25*Information!$E$15)-(Information!$H$23*0.5)-(Information!$E$15*Information!$H$23*0.042)),0)</f>
        <v>0</v>
      </c>
      <c r="G13" s="5" t="s">
        <v>45</v>
      </c>
      <c r="H13" s="23">
        <f>IF(Information!$F$12="Bermuda",(75+(6.25*Information!$H$12)-(Information!$H$20*0.5)-(Information!$H$12*Information!$H$20*0.042)),0)</f>
        <v>0</v>
      </c>
      <c r="I13" s="23">
        <f>IF(Information!$F$13="Bermuda",(75+(6.25*Information!$H$13)-(Information!$H$21*0.5)-(Information!$H$13*Information!$H$21*0.042)),0)</f>
        <v>0</v>
      </c>
      <c r="J13" s="23">
        <f>IF(Information!$F$14="Bermuda",(75+(6.25*Information!$H$14)-(Information!$H$22*0.5)-(Information!$H$14*Information!$H$22*0.042)),0)</f>
        <v>0</v>
      </c>
      <c r="K13" s="23">
        <f>IF(Information!$F$15="Bermuda",(75+(6.25*Information!$H$15)-(Information!$H$23*0.5)-(Information!$H$15*Information!$H$23*0.042)),0)</f>
        <v>0</v>
      </c>
      <c r="M13" s="5" t="s">
        <v>45</v>
      </c>
      <c r="N13" s="23">
        <f>IF(Information!$I$12="Bermuda",(75+(6.25*Information!$K$12)-(Information!$H$20*0.5)-(Information!$K$12*Information!$H$20*0.042)),0)</f>
        <v>0</v>
      </c>
      <c r="O13" s="23">
        <f>IF(Information!$I$13="Bermuda",(75+(6.25*Information!$K$13)-(Information!$H$21*0.5)-(Information!$K$13*Information!$H$21*0.042)),0)</f>
        <v>0</v>
      </c>
      <c r="P13" s="23">
        <f>IF(Information!$I$14="Bermuda",(75+(6.25*Information!$K$14)-(Information!$H$22*0.5)-(Information!$K$14*Information!$H$22*0.042)),0)</f>
        <v>0</v>
      </c>
      <c r="Q13" s="23">
        <f>IF(Information!$I$15="Bermuda",(75+(6.25*Information!$K$15)-(Information!$H$23*0.5)-(Information!$K$15*Information!$H$23*0.042)),0)</f>
        <v>0</v>
      </c>
    </row>
    <row r="14" spans="1:17" x14ac:dyDescent="0.2">
      <c r="A14" s="5" t="s">
        <v>46</v>
      </c>
      <c r="B14" s="23">
        <f>IF(Information!$C$12="New Brome",(91+(15*Information!$E$12)-(Information!$H$20*0.7)-(Information!$E$12*Information!$H$20*0.116)),0)</f>
        <v>0</v>
      </c>
      <c r="C14" s="23">
        <f>IF(Information!$C$13="New Brome",(91+(15*Information!$E$13)-(Information!$H$21*0.7)-(Information!$E$13*Information!$H$21*0.116)),0)</f>
        <v>0</v>
      </c>
      <c r="D14" s="23">
        <f>IF(Information!$C$14="New Brome",(91+(15*Information!$E$14)-(Information!$H$22*0.7)-(Information!$E$14*Information!$H$22*0.116)),0)</f>
        <v>0</v>
      </c>
      <c r="E14" s="23">
        <f>IF(Information!$C$15="New Brome",(91+(15*Information!$E$15)-(Information!$H$23*0.7)-(Information!$E$15*Information!$H$23*0.116)),0)</f>
        <v>0</v>
      </c>
      <c r="G14" s="5" t="s">
        <v>46</v>
      </c>
      <c r="H14" s="23">
        <f>IF(Information!$F$12="New Brome",(91+(15*Information!$H$12)-(Information!$H$20*0.7)-(Information!$H$12*Information!$H$20*0.116)),0)</f>
        <v>0</v>
      </c>
      <c r="I14" s="23">
        <f>IF(Information!$F$13="New Brome",(91+(15*Information!$H$13)-(Information!$H$21*0.7)-(Information!$H$13*Information!$H$21*0.116)),0)</f>
        <v>0</v>
      </c>
      <c r="J14" s="23">
        <f>IF(Information!$F$14="New Brome",(91+(15*Information!$H$14)-(Information!$H$22*0.7)-(Information!$H$14*Information!$H$22*0.116)),0)</f>
        <v>0</v>
      </c>
      <c r="K14" s="23">
        <f>IF(Information!$F$15="New Brome",(91+(15*Information!$H$15)-(Information!$H$23*0.7)-(Information!$H$15*Information!$H$23*0.116)),0)</f>
        <v>0</v>
      </c>
      <c r="M14" s="5" t="s">
        <v>46</v>
      </c>
      <c r="N14" s="23">
        <f>IF(Information!$I$12="New Brome",(91+(15*Information!$K$12)-(Information!$H$20*0.7)-(Information!$K$12*Information!$H$20*0.116)),0)</f>
        <v>0</v>
      </c>
      <c r="O14" s="23">
        <f>IF(Information!$I$13="New Brome",(91+(15*Information!$K$13)-(Information!$H$21*0.7)-(Information!$K$13*Information!$H$21*0.116)),0)</f>
        <v>0</v>
      </c>
      <c r="P14" s="23">
        <f>IF(Information!$I$14="New Brome",(91+(15*Information!$K$14)-(Information!$H$22*0.7)-(Information!$K$14*Information!$H$22*0.116)),0)</f>
        <v>0</v>
      </c>
      <c r="Q14" s="23">
        <f>IF(Information!$I$15="New Brome",(91+(15*Information!$K$15)-(Information!$H$23*0.7)-(Information!$K$15*Information!$H$23*0.116)),0)</f>
        <v>0</v>
      </c>
    </row>
    <row r="15" spans="1:17" x14ac:dyDescent="0.2">
      <c r="A15" s="5" t="s">
        <v>47</v>
      </c>
      <c r="B15" s="23">
        <f>IF(Information!$C$12="New Fescue",(91+(15*Information!$E$12)-(Information!$H$20*0.7)-(Information!$E$12*Information!$H$20*0.116)),0)</f>
        <v>0</v>
      </c>
      <c r="C15" s="23">
        <f>IF(Information!$C$13="New Fescue",(91+(15*Information!$E$13)-(Information!$H$21*0.7)-(Information!$E$13*Information!$H$21*0.116)),0)</f>
        <v>0</v>
      </c>
      <c r="D15" s="23">
        <f>IF(Information!$C$14="New Fescue",(91+(15*Information!$E$14)-(Information!$H$22*0.7)-(Information!$E$14*Information!$H$22*0.116)),0)</f>
        <v>0</v>
      </c>
      <c r="E15" s="23">
        <f>IF(Information!$C$15="New Fescue",(91+(15*Information!$E$15)-(Information!$H$23*0.7)-(Information!$E$15*Information!$H$23*0.116)),0)</f>
        <v>0</v>
      </c>
      <c r="G15" s="5" t="s">
        <v>47</v>
      </c>
      <c r="H15" s="23">
        <f>IF(Information!$F$12="New Fescue",(91+(15*Information!$H$12)-(Information!$H$20*0.7)-(Information!$H$12*Information!$H$20*0.116)),0)</f>
        <v>0</v>
      </c>
      <c r="I15" s="23">
        <f>IF(Information!$F$13="New Fescue",(91+(15*Information!$H$13)-(Information!$H$21*0.7)-(Information!$H$13*Information!$H$21*0.116)),0)</f>
        <v>0</v>
      </c>
      <c r="J15" s="23">
        <f>IF(Information!$F$14="New Fescue",(91+(15*Information!$H$14)-(Information!$H$22*0.7)-(Information!$H$14*Information!$H$22*0.116)),0)</f>
        <v>0</v>
      </c>
      <c r="K15" s="23">
        <f>IF(Information!$F$15="New Fescue",(91+(15*Information!$H$15)-(Information!$H$23*0.7)-(Information!$H$15*Information!$H$23*0.116)),0)</f>
        <v>0</v>
      </c>
      <c r="M15" s="5" t="s">
        <v>47</v>
      </c>
      <c r="N15" s="23">
        <f>IF(Information!$I$12="New Fescue",(91+(15*Information!$K$12)-(Information!$H$20*0.7)-(Information!$K$12*Information!$H$20*0.116)),0)</f>
        <v>0</v>
      </c>
      <c r="O15" s="23">
        <f>IF(Information!$I$13="New Fescue",(91+(15*Information!$K$13)-(Information!$H$21*0.7)-(Information!$K$13*Information!$H$21*0.116)),0)</f>
        <v>0</v>
      </c>
      <c r="P15" s="23">
        <f>IF(Information!$I$14="New Fescue",(91+(15*Information!$K$14)-(Information!$H$22*0.7)-(Information!$K$14*Information!$H$22*0.116)),0)</f>
        <v>0</v>
      </c>
      <c r="Q15" s="23">
        <f>IF(Information!$I$15="New Fescue",(91+(15*Information!$K$15)-(Information!$H$23*0.7)-(Information!$K$15*Information!$H$23*0.116)),0)</f>
        <v>0</v>
      </c>
    </row>
    <row r="16" spans="1:17" x14ac:dyDescent="0.2">
      <c r="A16" s="5" t="s">
        <v>278</v>
      </c>
      <c r="B16" s="23">
        <f>IF(Information!$C$12="New Bermuda",(105+(15*Information!$E$12)-(Information!$H$20*0.7)-(Information!$E$12*Information!$H$20*0.1)),0)</f>
        <v>0</v>
      </c>
      <c r="C16" s="23">
        <f>IF(Information!$C$13="New Bermuda",(105+(15*Information!$E$13)-(Information!$H$21*0.7)-(Information!$E$13*Information!$H$21*0.1)),0)</f>
        <v>0</v>
      </c>
      <c r="D16" s="23">
        <f>IF(Information!$C$14="New Bermuda",(105+(15*Information!$E$14)-(Information!$H$22*0.7)-(Information!$E$14*Information!$H$22*0.1)),0)</f>
        <v>0</v>
      </c>
      <c r="E16" s="23">
        <f>IF(Information!$C$15="New Bermuda",(105+(15*Information!$E$15)-(Information!$H$23*0.7)-(Information!$E$15*Information!$H$23*0.1)),0)</f>
        <v>0</v>
      </c>
      <c r="G16" s="5" t="s">
        <v>278</v>
      </c>
      <c r="H16" s="23">
        <f>IF(Information!$F$12="New Bermuda",(105+(15*Information!$H$12)-(Information!$H$20*0.7)-(Information!$H$12*Information!$H$20*0.1)),0)</f>
        <v>0</v>
      </c>
      <c r="I16" s="23">
        <f>IF(Information!$F$13="New Bermuda",(105+(15*Information!$H$13)-(Information!$H$21*0.7)-(Information!$H$13*Information!$H$21*0.1)),0)</f>
        <v>0</v>
      </c>
      <c r="J16" s="23">
        <f>IF(Information!$F$14="New Bermuda",(105+(15*Information!$H$14)-(Information!$H$22*0.7)-(Information!$H$14*Information!$H$22*0.1)),0)</f>
        <v>0</v>
      </c>
      <c r="K16" s="23">
        <f>IF(Information!$F$15="New Bermuda",(105+(15*Information!$H$15)-(Information!$H$23*0.7)-(Information!$H$15*Information!$H$23*0.1)),0)</f>
        <v>0</v>
      </c>
      <c r="M16" s="5" t="s">
        <v>278</v>
      </c>
      <c r="N16" s="23">
        <f>IF(Information!$I$12="New Bermuda",(105+(15*Information!$K$12)-(Information!$H$20*0.7)-(Information!$K$12*Information!$H$20*0.1)),0)</f>
        <v>0</v>
      </c>
      <c r="O16" s="23">
        <f>IF(Information!$I$13="New Bermuda",(105+(15*Information!$K$13)-(Information!$H$21*0.7)-(Information!$K$13*Information!$H$21*0.1)),0)</f>
        <v>0</v>
      </c>
      <c r="P16" s="23">
        <f>IF(Information!$I$14="New Bermuda",(105+(15*Information!$K$14)-(Information!$H$22*0.7)-(Information!$K$14*Information!$H$22*0.1)),0)</f>
        <v>0</v>
      </c>
      <c r="Q16" s="23">
        <f>IF(Information!$I$15="New Bermuda",(105+(15*Information!$K$15)-(Information!$H$23*0.7)-(Information!$K$15*Information!$H$23*0.1)),0)</f>
        <v>0</v>
      </c>
    </row>
    <row r="17" spans="1:17" x14ac:dyDescent="0.2">
      <c r="A17" s="5" t="s">
        <v>279</v>
      </c>
      <c r="B17" s="23">
        <f>IF(Information!$C$12="New Alfalfa/Clover",(105+(15*Information!$E$12)-(Information!$H$20*0.7)-(Information!$E$12*Information!$H$20*0.1)),0)</f>
        <v>0</v>
      </c>
      <c r="C17" s="23">
        <f>IF(Information!$C$13="New Alfalfa/Clover",(105+(15*Information!$E$13)-(Information!$H$21*0.7)-(Information!$E$13*Information!$H$21*0.1)),0)</f>
        <v>0</v>
      </c>
      <c r="D17" s="23">
        <f>IF(Information!$C$14="New Alfalfa/Clover",(105+(15*Information!$E$14)-(Information!$H$22*0.7)-(Information!$E$14*Information!$H$22*0.1)),0)</f>
        <v>0</v>
      </c>
      <c r="E17" s="23">
        <f>IF(Information!$C$15="New Alfalfa/Clover",(105+(15*Information!$E$15)-(Information!$H$23*0.7)-(Information!$E$15*Information!$H$23*0.1)),0)</f>
        <v>0</v>
      </c>
      <c r="G17" s="5" t="s">
        <v>279</v>
      </c>
      <c r="H17" s="23">
        <f>IF(Information!$F$12="New Alfalfa/Clover",(105+(15*Information!$H$12)-(Information!$H$20*0.7)-(Information!$H$12*Information!$H$20*0.1)),0)</f>
        <v>0</v>
      </c>
      <c r="I17" s="23">
        <f>IF(Information!$F$13="New Alfalfa/Clover",(105+(15*Information!$H$13)-(Information!$H$21*0.7)-(Information!$H$13*Information!$H$21*0.1)),0)</f>
        <v>0</v>
      </c>
      <c r="J17" s="23">
        <f>IF(Information!$F$14="New Alfalfa/Clover",(105+(15*Information!$H$14)-(Information!$H$22*0.7)-(Information!$H$14*Information!$H$22*0.1)),0)</f>
        <v>0</v>
      </c>
      <c r="K17" s="23">
        <f>IF(Information!$F$15="New Alfalfa/Clover",(105+(15*Information!$H$15)-(Information!$H$23*0.7)-(Information!$H$15*Information!$H$23*0.1)),0)</f>
        <v>0</v>
      </c>
      <c r="M17" s="5" t="s">
        <v>279</v>
      </c>
      <c r="N17" s="23">
        <f>IF(Information!$I$12="New Alfalfa/Clover",(105+(15*Information!$K$12)-(Information!$H$20*0.7)-(Information!$K$12*Information!$H$20*0.1)),0)</f>
        <v>0</v>
      </c>
      <c r="O17" s="23">
        <f>IF(Information!$I$13="New Alfalfa/Clover",(105+(15*Information!$K$13)-(Information!$H$21*0.7)-(Information!$K$13*Information!$H$21*0.1)),0)</f>
        <v>0</v>
      </c>
      <c r="P17" s="23">
        <f>IF(Information!$I$14="New Alfalfa/Clover",(105+(15*Information!$K$14)-(Information!$H$22*0.7)-(Information!$K$14*Information!$H$22*0.1)),0)</f>
        <v>0</v>
      </c>
      <c r="Q17" s="23">
        <f>IF(Information!$I$15="New Alfalfa/Clover",(105+(15*Information!$K$15)-(Information!$H$23*0.7)-(Information!$K$15*Information!$H$23*0.1)),0)</f>
        <v>0</v>
      </c>
    </row>
    <row r="18" spans="1:17" x14ac:dyDescent="0.2">
      <c r="A18" s="5" t="s">
        <v>32</v>
      </c>
      <c r="B18" s="23">
        <f>IF(Information!$C$12="Soybeans",(60+(0.628*Information!$E$12)-(Information!$H$20*0.46)-(Information!$E$12*Information!$H$20*0.0048)),0)</f>
        <v>0</v>
      </c>
      <c r="C18" s="23">
        <f>IF(Information!$C$13="Soybeans",(60+(0.628*Information!$E$13)-(Information!$H$21*0.46)-(Information!$E$13*Information!$H$21*0.0048)),0)</f>
        <v>0</v>
      </c>
      <c r="D18" s="23">
        <f>IF(Information!$C$14="Soybeans",(60+(0.628*Information!$E$14)-(Information!$H$22*0.46)-(Information!$E$14*Information!$H$22*0.0048)),0)</f>
        <v>0</v>
      </c>
      <c r="E18" s="23">
        <f>IF(Information!$C$15="Soybeans",(60+(0.628*Information!$E$15)-(Information!$H$23*0.46)-(Information!$E$15*Information!$H$23*0.0048)),0)</f>
        <v>0</v>
      </c>
      <c r="G18" s="5" t="s">
        <v>32</v>
      </c>
      <c r="H18" s="23">
        <f>IF(Information!$F$12="Soybeans",(60+(0.628*Information!$H$12)-(Information!$H$20*0.46)-(Information!$H$12*Information!$H$20*0.0048)),0)</f>
        <v>0</v>
      </c>
      <c r="I18" s="23">
        <f>IF(Information!$F$13="Soybeans",(60+(0.628*Information!$H$13)-(Information!$H$21*0.46)-(Information!$H$13*Information!$H$21*0.0048)),0)</f>
        <v>0</v>
      </c>
      <c r="J18" s="23">
        <f>IF(Information!$F$14="Soybeans",(60+(0.628*Information!$H$14)-(Information!$H$22*0.46)-(Information!$H$14*Information!$H$22*0.0048)),0)</f>
        <v>0</v>
      </c>
      <c r="K18" s="23">
        <f>IF(Information!$F$15="Soybeans",(60+(0.628*Information!$H$15)-(Information!$H$23*0.46)-(Information!$H$15*Information!$H$23*0.0048)),0)</f>
        <v>0</v>
      </c>
      <c r="M18" s="5" t="s">
        <v>32</v>
      </c>
      <c r="N18" s="23">
        <f>IF(Information!$I$12="Soybeans",(60+(0.628*Information!$K$12)-(Information!$H$20*0.46)-(Information!$K$12*Information!$H$20*0.0048)),0)</f>
        <v>0</v>
      </c>
      <c r="O18" s="23">
        <f>IF(Information!$I$13="Soybeans",(60+(0.628*Information!$K$13)-(Information!$H$21*0.46)-(Information!$K$13*Information!$H$21*0.0048)),0)</f>
        <v>0</v>
      </c>
      <c r="P18" s="23">
        <f>IF(Information!$I$14="Soybeans",(60+(0.628*Information!$K$14)-(Information!$H$22*0.46)-(Information!$K$14*Information!$H$22*0.0048)),0)</f>
        <v>0</v>
      </c>
      <c r="Q18" s="23">
        <f>IF(Information!$I$15="Soybeans",(60+(0.628*Information!$K$15)-(Information!$H$23*0.46)-(Information!$K$15*Information!$H$23*0.0048)),0)</f>
        <v>0</v>
      </c>
    </row>
    <row r="19" spans="1:17" ht="13.5" thickBot="1" x14ac:dyDescent="0.25">
      <c r="A19" s="12" t="s">
        <v>49</v>
      </c>
      <c r="B19" s="13">
        <f>IF(AND(Information!$C$12="Alfalfa",Information!$H$20&lt;150,Information!$H$20&gt;128),15,IF(Information!$C$12="Alfalfa",(84+(5.24*Information!$E$12)-(Information!$H$20*0.56)-(Information!$E$12*Information!$H$20*0.035)),0))</f>
        <v>0</v>
      </c>
      <c r="C19" s="13">
        <f>IF(AND(Information!$C$13="Alfalfa",Information!$H$21&lt;150,Information!$H$21&gt;128),15,IF(Information!$C$13="Alfalfa",(84+(5.24*Information!$E$13)-(Information!$H$21*0.56)-(Information!$E$13*Information!$H$21*0.035)),0))</f>
        <v>0</v>
      </c>
      <c r="D19" s="13">
        <f>IF(AND(Information!$C$14="Alfalfa",Information!$H$22&lt;150,Information!$H$22&gt;128),15,IF(Information!$C$14="Alfalfa",(84+(5.24*Information!$E$14)-(Information!$H$22*0.56)-(Information!$E$14*Information!$H$22*0.035)),0))</f>
        <v>0</v>
      </c>
      <c r="E19" s="13">
        <f>IF(AND(Information!$C$15="Alfalfa",Information!$H$23&lt;150,Information!$H$23&gt;128),15,IF(Information!$C$15="Alfalfa",(84+(5.24*Information!$E$15)-(Information!$H$23*0.56)-(Information!$E$15*Information!$H$23*0.035)),0))</f>
        <v>0</v>
      </c>
      <c r="G19" s="12" t="s">
        <v>49</v>
      </c>
      <c r="H19" s="13">
        <f>IF(AND(Information!$F$12="Alfalfa",Information!$H$20&lt;150,Information!$H$20&gt;128),15,IF(Information!$F$12="Alfalfa",(84+(5.24*Information!$H$12)-(Information!$H$20*0.56)-(Information!$H$12*Information!$H$20*0.035)),0))</f>
        <v>0</v>
      </c>
      <c r="I19" s="13">
        <f>IF(AND(Information!$F$13="Alfalfa",Information!$H$21&lt;150,Information!$H$21&gt;128),15,IF(Information!$F$13="Alfalfa",(84+(5.24*Information!$H$13)-(Information!$H$21*0.56)-(Information!$H$13*Information!$H$21*0.035)),0))</f>
        <v>0</v>
      </c>
      <c r="J19" s="13">
        <f>IF(AND(Information!$F$14="Alfalfa",Information!$H$22&lt;150,Information!$H$22&gt;128),15,IF(Information!$F$14="Alfalfa",(84+(5.24*Information!$H$14)-(Information!$H$22*0.56)-(Information!$H$14*Information!$H$22*0.035)),0))</f>
        <v>0</v>
      </c>
      <c r="K19" s="13">
        <f>IF(AND(Information!$F$15="Alfalfa",Information!$H$23&lt;150,Information!$H$23&gt;128),15,IF(Information!$F$15="Alfalfa",(84+(5.24*Information!$H$15)-(Information!$H$23*0.56)-(Information!$H$15*Information!$H$23*0.035)),0))</f>
        <v>0</v>
      </c>
      <c r="M19" s="12" t="s">
        <v>49</v>
      </c>
      <c r="N19" s="13">
        <f>IF(AND(Information!$I$12="Alfalfa",Information!$H$20&lt;150,Information!$H$20&gt;128),15,IF(Information!$I$12="Alfalfa",(84+(5.24*Information!$K$12)-(Information!$H$20*0.56)-(Information!$K$12*Information!$H$20*0.035)),0))</f>
        <v>0</v>
      </c>
      <c r="O19" s="13">
        <f>IF(AND(Information!$I$13="Alfalfa",Information!$H$21&lt;150,Information!$H$21&gt;128),15,IF(Information!$I$13="Alfalfa",(84+(5.24*Information!$K$13)-(Information!$H$21*0.56)-(Information!$K$13*Information!$H$21*0.035)),0))</f>
        <v>0</v>
      </c>
      <c r="P19" s="13">
        <f>IF(AND(Information!$I$14="Alfalfa",Information!$H$22&lt;150,Information!$H$22&gt;128),15,IF(Information!$I$14="Alfalfa",(84+(5.24*Information!$K$14)-(Information!$H$22*0.56)-(Information!$K$14*Information!$H$22*0.035)),0))</f>
        <v>0</v>
      </c>
      <c r="Q19" s="13">
        <f>IF(AND(Information!$I$15="Alfalfa",Information!$H$23&lt;150,Information!$H$23&gt;128),15,IF(Information!$I$15="Alfalfa",(84+(5.24*Information!$K$15)-(Information!$H$23*0.56)-(Information!$K$15*Information!$H$23*0.035)),0))</f>
        <v>0</v>
      </c>
    </row>
    <row r="20" spans="1:17" s="32" customFormat="1" ht="13.5" thickTop="1" x14ac:dyDescent="0.2">
      <c r="B20" s="31">
        <f>MROUND(IF(SUM(B4:B19)&lt;=12.4,0,IF(SUM(B4:B19)&gt;=120,120,SUM(B4:B19))),5)</f>
        <v>0</v>
      </c>
      <c r="C20" s="31">
        <f>MROUND(IF(SUM(C4:C19)&lt;=12.4,0,IF(SUM(C4:C19)&gt;=120,120,SUM(C4:C19))),5)</f>
        <v>0</v>
      </c>
      <c r="D20" s="31">
        <f>MROUND(IF(SUM(D4:D19)&lt;=12.4,0,IF(SUM(D4:D19)&gt;=120,120,SUM(D4:D19))),5)</f>
        <v>0</v>
      </c>
      <c r="E20" s="31">
        <f>MROUND(IF(SUM(E4:E19)&lt;=12.4,0,IF(SUM(E4:E19)&gt;=120,120,SUM(E4:E19))),5)</f>
        <v>0</v>
      </c>
      <c r="H20" s="31">
        <f>MROUND(IF(SUM(H4:H19)&lt;=12.4,0,IF(SUM(H4:H19)&gt;=120,120,SUM(H4:H19))),5)</f>
        <v>0</v>
      </c>
      <c r="I20" s="31">
        <f>MROUND(IF(SUM(I4:I19)&lt;=12.4,0,IF(SUM(I4:I19)&gt;=120,120,SUM(I4:I19))),5)</f>
        <v>0</v>
      </c>
      <c r="J20" s="31">
        <f>MROUND(IF(SUM(J4:J19)&lt;=12.4,0,IF(SUM(J4:J19)&gt;=120,120,SUM(J4:J19))),5)</f>
        <v>0</v>
      </c>
      <c r="K20" s="31">
        <f>MROUND(IF(SUM(K4:K19)&lt;=12.4,0,IF(SUM(K4:K19)&gt;=120,120,SUM(K4:K19))),5)</f>
        <v>0</v>
      </c>
      <c r="N20" s="31">
        <f>MROUND(IF(SUM(N4:N19)&lt;=12.4,0,IF(SUM(N4:N19)&gt;=120,120,SUM(N4:N19))),5)</f>
        <v>0</v>
      </c>
      <c r="O20" s="31">
        <f>MROUND(IF(SUM(O4:O19)&lt;=12.4,0,IF(SUM(O4:O19)&gt;=120,120,SUM(O4:O19))),5)</f>
        <v>0</v>
      </c>
      <c r="P20" s="31">
        <f>MROUND(IF(SUM(P4:P19)&lt;=12.4,0,IF(SUM(P4:P19)&gt;=120,120,SUM(P4:P19))),5)</f>
        <v>0</v>
      </c>
      <c r="Q20" s="31">
        <f>MROUND(IF(SUM(Q4:Q19)&lt;=12.4,0,IF(SUM(Q4:Q19)&gt;=120,120,SUM(Q4:Q19))),5)</f>
        <v>0</v>
      </c>
    </row>
    <row r="26" spans="1:17" x14ac:dyDescent="0.2">
      <c r="B26" s="172"/>
    </row>
  </sheetData>
  <mergeCells count="3">
    <mergeCell ref="A1:E1"/>
    <mergeCell ref="G1:K1"/>
    <mergeCell ref="M1:Q1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Q5"/>
  <sheetViews>
    <sheetView workbookViewId="0">
      <selection activeCell="B7" sqref="B7"/>
    </sheetView>
  </sheetViews>
  <sheetFormatPr defaultRowHeight="12.75" x14ac:dyDescent="0.2"/>
  <cols>
    <col min="1" max="1" width="31" bestFit="1" customWidth="1"/>
    <col min="2" max="5" width="14.28515625" customWidth="1"/>
    <col min="7" max="7" width="31" bestFit="1" customWidth="1"/>
    <col min="8" max="11" width="14.28515625" customWidth="1"/>
    <col min="13" max="13" width="28.28515625" customWidth="1"/>
    <col min="14" max="17" width="14.28515625" customWidth="1"/>
  </cols>
  <sheetData>
    <row r="1" spans="1:17" ht="18.75" thickBot="1" x14ac:dyDescent="0.3">
      <c r="A1" s="244" t="s">
        <v>60</v>
      </c>
      <c r="B1" s="244"/>
      <c r="C1" s="244"/>
      <c r="D1" s="244"/>
      <c r="E1" s="244"/>
      <c r="G1" s="244" t="s">
        <v>69</v>
      </c>
      <c r="H1" s="244"/>
      <c r="I1" s="244"/>
      <c r="J1" s="244"/>
      <c r="K1" s="244"/>
      <c r="M1" s="244" t="s">
        <v>70</v>
      </c>
      <c r="N1" s="244"/>
      <c r="O1" s="244"/>
      <c r="P1" s="244"/>
      <c r="Q1" s="244"/>
    </row>
    <row r="2" spans="1:17" ht="14.25" thickTop="1" thickBot="1" x14ac:dyDescent="0.25">
      <c r="A2" s="8" t="s">
        <v>72</v>
      </c>
      <c r="B2" s="9" t="s">
        <v>64</v>
      </c>
      <c r="C2" s="9" t="s">
        <v>65</v>
      </c>
      <c r="D2" s="9" t="s">
        <v>66</v>
      </c>
      <c r="E2" s="9" t="s">
        <v>67</v>
      </c>
      <c r="G2" s="8" t="s">
        <v>72</v>
      </c>
      <c r="H2" s="9" t="s">
        <v>64</v>
      </c>
      <c r="I2" s="9" t="s">
        <v>65</v>
      </c>
      <c r="J2" s="9" t="s">
        <v>66</v>
      </c>
      <c r="K2" s="9" t="s">
        <v>67</v>
      </c>
      <c r="M2" s="8" t="s">
        <v>72</v>
      </c>
      <c r="N2" s="9" t="s">
        <v>64</v>
      </c>
      <c r="O2" s="9" t="s">
        <v>65</v>
      </c>
      <c r="P2" s="9" t="s">
        <v>66</v>
      </c>
      <c r="Q2" s="9" t="s">
        <v>67</v>
      </c>
    </row>
    <row r="3" spans="1:17" x14ac:dyDescent="0.2">
      <c r="B3" s="33"/>
      <c r="C3" s="33"/>
      <c r="D3" s="33"/>
      <c r="E3" s="33"/>
      <c r="H3" s="33"/>
      <c r="I3" s="33"/>
      <c r="J3" s="33"/>
      <c r="K3" s="33"/>
      <c r="N3" s="33"/>
      <c r="O3" s="33"/>
      <c r="P3" s="33"/>
      <c r="Q3" s="33"/>
    </row>
    <row r="4" spans="1:17" ht="13.5" thickBot="1" x14ac:dyDescent="0.25">
      <c r="A4" s="5" t="s">
        <v>73</v>
      </c>
      <c r="B4" s="28">
        <f>IF(AND(Information!$C$12="Corn",Information!$I$20&gt;0),11.5-(11.25*Information!$I$20),IF(AND(Information!$C$12="Grain Sorghum",Information!$I$20&gt;0),11.5-(11.25*Information!$I$20),IF(AND(Information!$C$12="Soybeans",Information!$I$20&gt;0),11.5-(11.25*Information!$I$20),0)))</f>
        <v>0</v>
      </c>
      <c r="C4" s="28">
        <f>IF(AND(Information!$C$13="Corn",Information!$I$21&gt;0),11.5-(11.25*Information!$I$21),IF(AND(Information!$C$13="Grain Sorghum",Information!$I$21&gt;0),11.5-(11.25*Information!$I$21),IF(AND(Information!$C$13="Soybeans",Information!$I$21&gt;0),11.5-(11.25*Information!$I$21),0)))</f>
        <v>0</v>
      </c>
      <c r="D4" s="28">
        <f>IF(AND(Information!$C$14="Corn",Information!$I$22&gt;0),11.5-(11.25*Information!$I$22),IF(AND(Information!$C$14="Grain Sorghum",Information!$I$22&gt;0),11.5-(11.25*Information!$I$22),IF(AND(Information!$C$14="Soybeans",Information!$I$22&gt;0),11.5-(11.25*Information!$I$22),0)))</f>
        <v>0</v>
      </c>
      <c r="E4" s="28">
        <f>IF(AND(Information!$C$15="Corn",Information!$I$23&gt;0),11.5-(11.25*Information!$I$23),IF(AND(Information!$C$15="Grain Sorghum",Information!$I$23&gt;0),11.5-(11.25*Information!$I$23),IF(AND(Information!$C$15="Soybeans",Information!$I$23&gt;0),11.5-(11.25*Information!$I$23),0)))</f>
        <v>0</v>
      </c>
      <c r="G4" s="5" t="s">
        <v>73</v>
      </c>
      <c r="H4" s="28">
        <f>IF(AND(Information!$F$12="Corn",Information!$I$20&gt;0),11.5-(11.25*Information!$I$20),IF(AND(Information!$F$12="Grain Sorghum",Information!$I$20&gt;0),11.5-(11.25*Information!$I$20),IF(AND(Information!$F$12="Soybeans",Information!$I$20&gt;0),11.5-(11.25*Information!$I$20),0)))</f>
        <v>0</v>
      </c>
      <c r="I4" s="28">
        <f>IF(AND(Information!$F$13="Corn",Information!$I$21&gt;0),11.5-(11.25*Information!$I$21),IF(AND(Information!$F$13="Grain Sorghum",Information!$I$21&gt;0),11.5-(11.25*Information!$I$21),IF(AND(Information!$F$13="Soybeans",Information!$I$21&gt;0),11.5-(11.25*Information!$I$21),0)))</f>
        <v>0</v>
      </c>
      <c r="J4" s="28">
        <f>IF(AND(Information!$F$14="Corn",Information!$I$22&gt;0),11.5-(11.25*Information!$I$22),IF(AND(Information!$F$14="Grain Sorghum",Information!$I$22&gt;0),11.5-(11.25*Information!$I$22),IF(AND(Information!$F$14="Soybeans",Information!$I$22&gt;0),11.5-(11.25*Information!$I$22),0)))</f>
        <v>0</v>
      </c>
      <c r="K4" s="28">
        <f>IF(AND(Information!$F$15="Corn",Information!$I$23&gt;0),11.5-(11.25*Information!$I$23),IF(AND(Information!$F$15="Grain Sorghum",Information!$I$23&gt;0),11.5-(11.25*Information!$I$23),IF(AND(Information!$F$15="Soybeans",Information!$I$23&gt;0),11.5-(11.25*Information!$I$23),0)))</f>
        <v>0</v>
      </c>
      <c r="M4" s="5" t="s">
        <v>73</v>
      </c>
      <c r="N4" s="28">
        <f>IF(AND(Information!$I$12="Corn",Information!$I$20&gt;0),11.5-(11.25*Information!$I$20),IF(AND(Information!$I$12="Grain Sorghum",Information!$I$20&gt;0),11.5-(11.25*Information!$I$20),IF(AND(Information!$I$12="Soybeans",Information!$I$20&gt;0),11.5-(11.25*Information!$I$20),0)))</f>
        <v>0</v>
      </c>
      <c r="O4" s="28">
        <f>IF(AND(Information!$I$13="Corn",Information!$I$21&gt;0),11.5-(11.25*Information!$I$21),IF(AND(Information!$I$13="Grain Sorghum",Information!$I$21&gt;0),11.5-(11.25*Information!$I$21),IF(AND(Information!$I$13="Soybeans",Information!$I$21&gt;0),11.5-(11.25*Information!$I$21),0)))</f>
        <v>0</v>
      </c>
      <c r="P4" s="28">
        <f>IF(AND(Information!$I$14="Corn",Information!$I$22&gt;0),11.5-(11.25*Information!$I$22),IF(AND(Information!$I$14="Grain Sorghum",Information!$I$22&gt;0),11.5-(11.25*Information!$I$22),IF(AND(Information!$I$14="Soybeans",Information!$I$22&gt;0),11.5-(11.25*Information!$I$22),0)))</f>
        <v>0</v>
      </c>
      <c r="Q4" s="28">
        <f>IF(AND(Information!$I$15="Corn",Information!$I$23&gt;0),11.5-(11.25*Information!$I$23),IF(AND(Information!$I$15="Grain Sorghum",Information!$I$23&gt;0),11.5-(11.25*Information!$I$23),IF(AND(Information!$I$15="Soybeans",Information!$I$23&gt;0),11.5-(11.25*Information!$I$23),0)))</f>
        <v>0</v>
      </c>
    </row>
    <row r="5" spans="1:17" ht="13.5" thickTop="1" x14ac:dyDescent="0.2">
      <c r="A5" s="32"/>
      <c r="B5" s="31">
        <f>ROUND(IF(SUM(B4:B4)&lt;0,0,SUM(B4:B4)),0)</f>
        <v>0</v>
      </c>
      <c r="C5" s="31">
        <f>ROUND(IF(SUM(C4:C4)&lt;0,0,SUM(C4:C4)),0)</f>
        <v>0</v>
      </c>
      <c r="D5" s="31">
        <f>ROUND(IF(SUM(D4:D4)&lt;0,0,SUM(D4:D4)),0)</f>
        <v>0</v>
      </c>
      <c r="E5" s="31">
        <f>ROUND(IF(SUM(E4:E4)&lt;0,0,SUM(E4:E4)),0)</f>
        <v>0</v>
      </c>
      <c r="G5" s="32"/>
      <c r="H5" s="31">
        <f>ROUND(IF(SUM(H4:H4)&lt;0,0,SUM(H4:H4)),0)</f>
        <v>0</v>
      </c>
      <c r="I5" s="31">
        <f>ROUND(IF(SUM(I4:I4)&lt;0,0,SUM(I4:I4)),0)</f>
        <v>0</v>
      </c>
      <c r="J5" s="31">
        <f>ROUND(IF(SUM(J4:J4)&lt;0,0,SUM(J4:J4)),0)</f>
        <v>0</v>
      </c>
      <c r="K5" s="31">
        <f>ROUND(IF(SUM(K4:K4)&lt;0,0,SUM(K4:K4)),0)</f>
        <v>0</v>
      </c>
      <c r="M5" s="32"/>
      <c r="N5" s="31">
        <f>ROUND(IF(SUM(N4:N4)&lt;0,0,SUM(N4:N4)),0)</f>
        <v>0</v>
      </c>
      <c r="O5" s="31">
        <f>ROUND(IF(SUM(O4:O4)&lt;0,0,SUM(O4:O4)),0)</f>
        <v>0</v>
      </c>
      <c r="P5" s="31">
        <f>ROUND(IF(SUM(P4:P4)&lt;0,0,SUM(P4:P4)),0)</f>
        <v>0</v>
      </c>
      <c r="Q5" s="31">
        <f>ROUND(IF(SUM(Q4:Q4)&lt;0,0,SUM(Q4:Q4)),0)</f>
        <v>0</v>
      </c>
    </row>
  </sheetData>
  <mergeCells count="3">
    <mergeCell ref="A1:E1"/>
    <mergeCell ref="G1:K1"/>
    <mergeCell ref="M1:Q1"/>
  </mergeCells>
  <phoneticPr fontId="4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Q17"/>
  <sheetViews>
    <sheetView workbookViewId="0">
      <selection activeCell="R16" sqref="R16"/>
    </sheetView>
  </sheetViews>
  <sheetFormatPr defaultRowHeight="12.75" x14ac:dyDescent="0.2"/>
  <cols>
    <col min="1" max="1" width="28.28515625" customWidth="1"/>
    <col min="2" max="5" width="14.28515625" customWidth="1"/>
    <col min="7" max="7" width="28.28515625" customWidth="1"/>
    <col min="8" max="11" width="14.28515625" customWidth="1"/>
    <col min="13" max="13" width="28.28515625" customWidth="1"/>
    <col min="14" max="17" width="14.28515625" customWidth="1"/>
  </cols>
  <sheetData>
    <row r="1" spans="1:17" ht="18.75" thickBot="1" x14ac:dyDescent="0.3">
      <c r="A1" s="244" t="s">
        <v>60</v>
      </c>
      <c r="B1" s="244"/>
      <c r="C1" s="244"/>
      <c r="D1" s="244"/>
      <c r="E1" s="244"/>
      <c r="G1" s="244" t="s">
        <v>69</v>
      </c>
      <c r="H1" s="244"/>
      <c r="I1" s="244"/>
      <c r="J1" s="244"/>
      <c r="K1" s="244"/>
      <c r="M1" s="244" t="s">
        <v>70</v>
      </c>
      <c r="N1" s="244"/>
      <c r="O1" s="244"/>
      <c r="P1" s="244"/>
      <c r="Q1" s="244"/>
    </row>
    <row r="2" spans="1:17" ht="14.25" thickTop="1" thickBot="1" x14ac:dyDescent="0.25">
      <c r="A2" s="8" t="s">
        <v>71</v>
      </c>
      <c r="B2" s="9" t="s">
        <v>64</v>
      </c>
      <c r="C2" s="9" t="s">
        <v>65</v>
      </c>
      <c r="D2" s="9" t="s">
        <v>66</v>
      </c>
      <c r="E2" s="9" t="s">
        <v>67</v>
      </c>
      <c r="G2" s="8" t="s">
        <v>71</v>
      </c>
      <c r="H2" s="9" t="s">
        <v>64</v>
      </c>
      <c r="I2" s="9" t="s">
        <v>65</v>
      </c>
      <c r="J2" s="9" t="s">
        <v>66</v>
      </c>
      <c r="K2" s="9" t="s">
        <v>67</v>
      </c>
      <c r="M2" s="8" t="s">
        <v>71</v>
      </c>
      <c r="N2" s="9" t="s">
        <v>64</v>
      </c>
      <c r="O2" s="9" t="s">
        <v>65</v>
      </c>
      <c r="P2" s="9" t="s">
        <v>66</v>
      </c>
      <c r="Q2" s="9" t="s">
        <v>67</v>
      </c>
    </row>
    <row r="3" spans="1:17" x14ac:dyDescent="0.2">
      <c r="B3" s="7"/>
      <c r="C3" s="7"/>
      <c r="D3" s="7"/>
      <c r="E3" s="7"/>
      <c r="H3" s="7"/>
      <c r="I3" s="7"/>
      <c r="J3" s="7"/>
      <c r="K3" s="7"/>
      <c r="N3" s="7"/>
      <c r="O3" s="7"/>
      <c r="P3" s="7"/>
      <c r="Q3" s="7"/>
    </row>
    <row r="4" spans="1:17" x14ac:dyDescent="0.2">
      <c r="A4" s="5" t="s">
        <v>30</v>
      </c>
      <c r="B4" s="23">
        <f>IF(AND(Information!$C$12="Corn",Information!$K$20&gt;0,Information!$E$20&gt;0),(0.2*Information!$E$12)-(2.5*Information!$E$20)-(Information!$K$20*0.3*Information!$B$12),IF(AND(Information!$C$12="Corn",Information!$E$20="",Information!$K$20&gt;0),(0.2*Information!$E$12)-(5)-(Information!$K$20*0.3*Information!$B$12),0))</f>
        <v>0</v>
      </c>
      <c r="C4" s="23">
        <f>IF(AND(Information!$C$13="Corn",Information!$K$21&gt;0,Information!$E$21&gt;0),(0.2*Information!$E$13)-(2.5*Information!$E$21)-(Information!$K$21*0.3*Information!$B$13),IF(AND(Information!$C$13="Corn",Information!$E$21="",Information!$K$21&gt;0),(0.2*Information!$E$13)-(5)-(Information!$K$21*0.3*Information!$B$13),0))</f>
        <v>0</v>
      </c>
      <c r="D4" s="23">
        <f>IF(AND(Information!$C$14="Corn",Information!$K$22&gt;0,Information!$E$22&gt;0),(0.2*Information!$E$14)-(2.5*Information!$E$22)-(Information!$K$22*0.3*Information!$B$14),IF(AND(Information!$C$14="Corn",Information!$E$22="",Information!$K$22&gt;0),(0.2*Information!$E$14)-(5)-(Information!$K$22*0.3*Information!$B$14),0))</f>
        <v>0</v>
      </c>
      <c r="E4" s="23">
        <f>IF(AND(Information!$C$15="Corn",Information!$K$23&gt;0,Information!$E$23&gt;0),(0.2*Information!$E$15)-(2.5*Information!$E$23)-(Information!$K$23*0.3*Information!$B$15),IF(AND(Information!$C$15="Corn",Information!$E$23="",Information!$K$23&gt;0),(0.2*Information!$E$15)-(5)-(Information!$K$23*0.3*Information!$B$15),0))</f>
        <v>0</v>
      </c>
      <c r="G4" s="5" t="s">
        <v>30</v>
      </c>
      <c r="H4" s="23">
        <f>IF(AND(Information!$F$12="Corn",Information!$K$20&gt;0,Information!$E$20&gt;0),(0.2*Information!$H$12)-(2.5*Information!$E$20)-(Information!$K$20*0.3*Information!$B$12),IF(AND(Information!$F$12="Corn",Information!$E$20="",Information!$K$20&gt;0),(0.2*Information!$H$12)-(5)-(Information!$K$20*0.3*Information!$B$12),0))</f>
        <v>0</v>
      </c>
      <c r="I4" s="23">
        <f>IF(AND(Information!$F$13="Corn",Information!$K$21&gt;0,Information!$E$21&gt;0),(0.2*Information!$H$13)-(2.5*Information!$E$21)-(Information!$K$21*0.3*Information!$B$13),IF(AND(Information!$F$13="Corn",Information!$E$21="",Information!$K$21&gt;0),(0.2*Information!$H$13)-(5)-(Information!$K$21*0.3*Information!$B$13),0))</f>
        <v>0</v>
      </c>
      <c r="J4" s="23">
        <f>IF(AND(Information!$F$14="Corn",Information!$K$22&gt;0,Information!$E$22&gt;0),(0.2*Information!$H$14)-(2.5*Information!$E$22)-(Information!$K$22*0.3*Information!$B$14),IF(AND(Information!$F$14="Corn",Information!$E$22="",Information!$K$22&gt;0),(0.2*Information!$H$14)-(5)-(Information!$K$22*0.3*Information!$B$14),0))</f>
        <v>0</v>
      </c>
      <c r="K4" s="23">
        <f>IF(AND(Information!$F$15="Corn",Information!$K$23&gt;0,Information!$E$23&gt;0),(0.2*Information!$H$15)-(2.5*Information!$E$23)-(Information!$K$23*0.3*Information!$B$15),IF(AND(Information!$F$15="Corn",Information!$E$23="",Information!$K$23&gt;0),(0.2*Information!$H$15)-(5)-(Information!$K$23*0.3*Information!$B$15),0))</f>
        <v>0</v>
      </c>
      <c r="M4" s="5" t="s">
        <v>30</v>
      </c>
      <c r="N4" s="23">
        <f>IF(AND(Information!$I$12="Corn",Information!$K$20&gt;0,Information!$E$20&gt;0),(0.2*Information!$K$12)-(2.5*Information!$E$20)-(Information!$K$20*0.3*Information!$B$12),IF(AND(Information!$I$12="Corn",Information!$E$20="",Information!$K$20&gt;0),(0.2*Information!$K$12)-(5)-(Information!$K$20*0.3*Information!$B$12),0))</f>
        <v>0</v>
      </c>
      <c r="O4" s="23">
        <f>IF(AND(Information!$I$13="Corn",Information!$K$21&gt;0,Information!$E$21&gt;0),(0.2*Information!$K$13)-(2.5*Information!$E$21)-(Information!$K$21*0.3*Information!$B$13),IF(AND(Information!$I$13="Corn",Information!$E$21="",Information!$K$21&gt;0),(0.2*Information!$K$13)-(5)-(Information!$K$21*0.3*Information!$B$13),0))</f>
        <v>0</v>
      </c>
      <c r="P4" s="23">
        <f>IF(AND(Information!$I$14="Corn",Information!$K$22&gt;0,Information!$E$22&gt;0),(0.2*Information!$K$14)-(2.5*Information!$E$22)-(Information!$K$22*0.3*Information!$B$14),IF(AND(Information!$I$14="Corn",Information!$E$22="",Information!$K$22&gt;0),(0.2*Information!$K$14)-(5)-(Information!$K$22*0.3*Information!$B$14),0))</f>
        <v>0</v>
      </c>
      <c r="Q4" s="23">
        <f>IF(AND(Information!$I$15="Corn",Information!$K$23&gt;0,Information!$E$23&gt;0),(0.2*Information!$K$15)-(2.5*Information!$E$23)-(Information!$K$23*0.3*Information!$B$15),IF(AND(Information!$I$15="Corn",Information!$E$23="",Information!$K$23&gt;0),(0.2*Information!$K$15)-(5)-(Information!$K$23*0.3*Information!$B$15),0))</f>
        <v>0</v>
      </c>
    </row>
    <row r="5" spans="1:17" x14ac:dyDescent="0.2">
      <c r="A5" s="5" t="s">
        <v>38</v>
      </c>
      <c r="B5" s="23">
        <f>IF(AND(Information!$C$12="Wheat",Information!$K$20&gt;0,Information!$E$20&gt;0),(0.6*Information!$E$12)-(2.5*Information!$E$20)-(Information!$K$20*0.3*Information!$B$12),IF(AND(Information!$C$12="Wheat",Information!$E$20="",Information!$K$20&gt;0),(0.6*Information!$E$12)-(5)-(Information!$K$20*0.3*Information!$B$12),0))</f>
        <v>0</v>
      </c>
      <c r="C5" s="23">
        <f>IF(AND(Information!$C$13="Wheat",Information!$K$21&gt;0,Information!$E$21&gt;0),(0.6*Information!$E$13)-(2.5*Information!$E$21)-(Information!$K$21*0.3*Information!$B$13),IF(AND(Information!$C$13="Wheat",Information!$E$21="",Information!$K$21&gt;0),(0.6*Information!$E$13)-(5)-(Information!$K$21*0.3*Information!$B$13),0))</f>
        <v>0</v>
      </c>
      <c r="D5" s="23">
        <f>IF(AND(Information!$C$14="Wheat",Information!$K$22&gt;0,Information!$E$22&gt;0),(0.6*Information!$E$14)-(2.5*Information!$E$22)-(Information!$K$22*0.3*Information!$B$14),IF(AND(Information!$C$14="Wheat",Information!$E$22="",Information!$K$22&gt;0),(0.6*Information!$E$14)-(5)-(Information!$K$22*0.3*Information!$B$14),0))</f>
        <v>0</v>
      </c>
      <c r="E5" s="23">
        <f>IF(AND(Information!$C$15="Wheat",Information!$K$23&gt;0,Information!$E$23&gt;0),(0.6*Information!$E$15)-(2.5*Information!$E$23)-(Information!$K$23*0.3*Information!$B$15),IF(AND(Information!$C$15="Wheat",Information!$E$23="",Information!$K$23&gt;0),(0.6*Information!$E$15)-(5)-(Information!$K$23*0.3*Information!$B$15),0))</f>
        <v>0</v>
      </c>
      <c r="G5" s="5" t="s">
        <v>38</v>
      </c>
      <c r="H5" s="23">
        <f>IF(AND(Information!$F$12="Wheat",Information!$K$20&gt;0,Information!$E$20&gt;0),(0.6*Information!$H$12)-(2.5*Information!$E$20)-(Information!$K$20*0.3*Information!$B$12),IF(AND(Information!$F$12="Wheat",Information!$E$20="",Information!$K$20&gt;0),(0.6*Information!$H$12)-(5)-(Information!$K$20*0.3*Information!$B$12),0))</f>
        <v>0</v>
      </c>
      <c r="I5" s="23">
        <f>IF(AND(Information!$F$13="Wheat",Information!$K$21&gt;0,Information!$E$21&gt;0),(0.6*Information!$H$13)-(2.5*Information!$E$21)-(Information!$K$21*0.3*Information!$B$13),IF(AND(Information!$F$13="Wheat",Information!$E$21="",Information!$K$21&gt;0),(0.6*Information!$H$13)-(5)-(Information!$K$21*0.3*Information!$B$13),0))</f>
        <v>0</v>
      </c>
      <c r="J5" s="23">
        <f>IF(AND(Information!$F$14="Wheat",Information!$K$22&gt;0,Information!$E$22&gt;0),(0.6*Information!$H$14)-(2.5*Information!$E$22)-(Information!$K$22*0.3*Information!$B$14),IF(AND(Information!$F$14="Wheat",Information!$E$22="",Information!$K$22&gt;0),(0.6*Information!$H$14)-(5)-(Information!$K$22*0.3*Information!$B$14),0))</f>
        <v>0</v>
      </c>
      <c r="K5" s="23">
        <f>IF(AND(Information!$F$15="Wheat",Information!$K$23&gt;0,Information!$E$23&gt;0),(0.6*Information!$H$15)-(2.5*Information!$E$23)-(Information!$K$23*0.3*Information!$B$15),IF(AND(Information!$F$15="Wheat",Information!$E$23="",Information!$K$23&gt;0),(0.6*Information!$H$15)-(5)-(Information!$K$23*0.3*Information!$B$15),0))</f>
        <v>0</v>
      </c>
      <c r="M5" s="5" t="s">
        <v>38</v>
      </c>
      <c r="N5" s="23">
        <f>IF(AND(Information!$I$12="Wheat",Information!$K$20&gt;0,Information!$E$20&gt;0),(0.6*Information!$K$12)-(2.5*Information!$E$20)-(Information!$K$20*0.3*Information!$B$12),IF(AND(Information!$I$12="Wheat",Information!$E$20="",Information!$K$20&gt;0),(0.6*Information!$K$12)-(5)-(Information!$K$20*0.3*Information!$B$12),0))</f>
        <v>0</v>
      </c>
      <c r="O5" s="23">
        <f>IF(AND(Information!$I$13="Wheat",Information!$K$21&gt;0,Information!$E$21&gt;0),(0.6*Information!$K$13)-(2.5*Information!$E$21)-(Information!$K$21*0.3*Information!$B$13),IF(AND(Information!$I$13="Wheat",Information!$E$21="",Information!$K$21&gt;0),(0.6*Information!$K$13)-(5)-(Information!$K$21*0.3*Information!$B$13),0))</f>
        <v>0</v>
      </c>
      <c r="P5" s="23">
        <f>IF(AND(Information!$I$14="Wheat",Information!$K$22&gt;0,Information!$E$22&gt;0),(0.6*Information!$K$14)-(2.5*Information!$E$22)-(Information!$K$22*0.3*Information!$B$14),IF(AND(Information!$I$14="Wheat",Information!$E$22="",Information!$K$22&gt;0),(0.6*Information!$K$14)-(5)-(Information!$K$22*0.3*Information!$B$14),0))</f>
        <v>0</v>
      </c>
      <c r="Q5" s="23">
        <f>IF(AND(Information!$I$15="Wheat",Information!$K$23&gt;0,Information!$E$23&gt;0),(0.6*Information!$K$15)-(2.5*Information!$E$23)-(Information!$K$23*0.3*Information!$B$15),IF(AND(Information!$I$15="Wheat",Information!$E$23="",Information!$K$23&gt;0),(0.6*Information!$K$15)-(5)-(Information!$K$23*0.3*Information!$B$15),0))</f>
        <v>0</v>
      </c>
    </row>
    <row r="6" spans="1:17" x14ac:dyDescent="0.2">
      <c r="A6" s="5" t="s">
        <v>39</v>
      </c>
      <c r="B6" s="23">
        <f>IF(AND(Information!$C$12="Grain Sorghum",Information!$K$20&gt;0,Information!$E$20&gt;0),(0.2*Information!$E$12)-(2.5*Information!$E$20)-(Information!$K$20*0.3*Information!$B$12),IF(AND(Information!$C$12="Grain Sorghum",Information!$E$20="",Information!$K$20&gt;0),(0.2*Information!$E$12)-(5)-(Information!$K$20*0.3*Information!$B$12),0))</f>
        <v>0</v>
      </c>
      <c r="C6" s="23">
        <f>IF(AND(Information!$C$13="Grain Sorghum",Information!$K$21&gt;0,Information!$E$21&gt;0),(0.2*Information!$E$13)-(2.5*Information!$E$21)-(Information!$K$21*0.3*Information!$B$13),IF(AND(Information!$C$13="Grain Sorghum",Information!$E$21="",Information!$K$21&gt;0),(0.2*Information!$E$13)-(5)-(Information!$K$21*0.3*Information!$B$13),0))</f>
        <v>0</v>
      </c>
      <c r="D6" s="23">
        <f>IF(AND(Information!$C$14="Grain Sorghum",Information!$K$22&gt;0,Information!$E$22&gt;0),(0.2*Information!$E$14)-(2.5*Information!$E$22)-(Information!$K$22*0.3*Information!$B$14),IF(AND(Information!$C$14="Grain Sorghum",Information!$E$22="",Information!$K$22&gt;0),(0.2*Information!$E$14)-(5)-(Information!$K$22*0.3*Information!$B$14),0))</f>
        <v>0</v>
      </c>
      <c r="E6" s="23">
        <f>IF(AND(Information!$C$15="Grain Sorghum",Information!$K$23&gt;0,Information!$E$23&gt;0),(0.2*Information!$E$15)-(2.5*Information!$E$23)-(Information!$K$23*0.3*Information!$B$15),IF(AND(Information!$C$15="Grain Sorghum",Information!$E$23="",Information!$K$23&gt;0),(0.2*Information!$E$15)-(5)-(Information!$K$23*0.3*Information!$B$15),0))</f>
        <v>0</v>
      </c>
      <c r="G6" s="5" t="s">
        <v>39</v>
      </c>
      <c r="H6" s="23">
        <f>IF(AND(Information!$F$12="Grain Sorghum",Information!$K$20&gt;0,Information!$E$20&gt;0),(0.2*Information!$H$12)-(2.5*Information!$E$20)-(Information!$K$20*0.3*Information!$B$12),IF(AND(Information!$F$12="Grain Sorghum",Information!$E$20="",Information!$K$20&gt;0),(0.2*Information!$H$12)-(5)-(Information!$K$20*0.3*Information!$B$12),0))</f>
        <v>0</v>
      </c>
      <c r="I6" s="23">
        <f>IF(AND(Information!$F$13="Grain Sorghum",Information!$K$21&gt;0,Information!$E$21&gt;0),(0.2*Information!$H$13)-(2.5*Information!$E$21)-(Information!$K$21*0.3*Information!$B$13),IF(AND(Information!$F$13="Grain Sorghum",Information!$E$21="",Information!$K$21&gt;0),(0.2*Information!$H$13)-(5)-(Information!$K$21*0.3*Information!$B$13),0))</f>
        <v>0</v>
      </c>
      <c r="J6" s="23">
        <f>IF(AND(Information!$F$14="Grain Sorghum",Information!$K$22&gt;0,Information!$E$22&gt;0),(0.2*Information!$H$14)-(2.5*Information!$E$22)-(Information!$K$22*0.3*Information!$B$14),IF(AND(Information!$F$14="Grain Sorghum",Information!$E$22="",Information!$K$22&gt;0),(0.2*Information!$H$14)-(5)-(Information!$K$22*0.3*Information!$B$14),0))</f>
        <v>0</v>
      </c>
      <c r="K6" s="23">
        <f>IF(AND(Information!$F$15="Grain Sorghum",Information!$K$23&gt;0,Information!$E$23&gt;0),(0.2*Information!$H$15)-(2.5*Information!$E$23)-(Information!$K$23*0.3*Information!$B$15),IF(AND(Information!$F$15="Grain Sorghum",Information!$E$23="",Information!$K$23&gt;0),(0.2*Information!$H$15)-(5)-(Information!$K$23*0.3*Information!$B$15),0))</f>
        <v>0</v>
      </c>
      <c r="M6" s="5" t="s">
        <v>39</v>
      </c>
      <c r="N6" s="23">
        <f>IF(AND(Information!$I$12="Grain Sorghum",Information!$K$20&gt;0,Information!$E$20&gt;0),(0.2*Information!$K$12)-(2.5*Information!$E$20)-(Information!$K$20*0.3*Information!$B$12),IF(AND(Information!$I$12="Grain Sorghum",Information!$E$20="",Information!$K$20&gt;0),(0.2*Information!$K$12)-(5)-(Information!$K$20*0.3*Information!$B$12),0))</f>
        <v>0</v>
      </c>
      <c r="O6" s="23">
        <f>IF(AND(Information!$I$13="Grain Sorghum",Information!$K$21&gt;0,Information!$E$21&gt;0),(0.2*Information!$K$13)-(2.5*Information!$E$21)-(Information!$K$21*0.3*Information!$B$13),IF(AND(Information!$I$13="Grain Sorghum",Information!$E$21="",Information!$K$21&gt;0),(0.2*Information!$K$13)-(5)-(Information!$K$21*0.3*Information!$B$13),0))</f>
        <v>0</v>
      </c>
      <c r="P6" s="23">
        <f>IF(AND(Information!$I$14="Grain Sorghum",Information!$K$22&gt;0,Information!$E$22&gt;0),(0.2*Information!$K$14)-(2.5*Information!$E$22)-(Information!$K$22*0.3*Information!$B$14),IF(AND(Information!$I$14="Grain Sorghum",Information!$E$22="",Information!$K$22&gt;0),(0.2*Information!$K$14)-(5)-(Information!$K$22*0.3*Information!$B$14),0))</f>
        <v>0</v>
      </c>
      <c r="Q6" s="23">
        <f>IF(AND(Information!$I$15="Grain Sorghum",Information!$K$23&gt;0,Information!$E$23&gt;0),(0.2*Information!$K$15)-(2.5*Information!$E$23)-(Information!$K$23*0.3*Information!$B$15),IF(AND(Information!$I$15="Grain Sorghum",Information!$E$23="",Information!$K$23&gt;0),(0.2*Information!$K$15)-(5)-(Information!$K$23*0.3*Information!$B$15),0))</f>
        <v>0</v>
      </c>
    </row>
    <row r="7" spans="1:17" x14ac:dyDescent="0.2">
      <c r="A7" s="5" t="s">
        <v>40</v>
      </c>
      <c r="B7" s="23">
        <f>IF(AND(Information!$C$12="Silage-Corn",Information!$K$20&gt;0,Information!$E$20&gt;0),(1.33*Information!$E$12)-(2.5*Information!$E$20)-(Information!$K$20*0.3*Information!$B$12),IF(AND(Information!$C$12="Silage-Corn",Information!$E$20="",Information!$K$20&gt;0),(1.33*Information!$E$12)-(5)-(Information!$K$20*0.3*Information!$B$12),0))</f>
        <v>0</v>
      </c>
      <c r="C7" s="23">
        <f>IF(AND(Information!$C$13="Silage-Corn",Information!$K$21&gt;0,Information!$E$21&gt;0),(1.33*Information!$E$13)-(2.5*Information!$E$21)-(Information!$K$21*0.3*Information!$B$13),IF(AND(Information!$C$13="Silage-Corn",Information!$E$21="",Information!$K$21&gt;0),(1.33*Information!$E$13)-(5)-(Information!$K$21*0.3*Information!$B$13),0))</f>
        <v>0</v>
      </c>
      <c r="D7" s="23">
        <f>IF(AND(Information!$C$14="Silage-Corn",Information!$K$22&gt;0,Information!$E$22&gt;0),(1.33*Information!$E$14)-(2.5*Information!$E$22)-(Information!$K$22*0.3*Information!$B$14),IF(AND(Information!$C$14="Silage-Corn",Information!$E$22="",Information!$K$22&gt;0),(1.33*Information!$E$14)-(5)-(Information!$K$22*0.3*Information!$B$14),0))</f>
        <v>0</v>
      </c>
      <c r="E7" s="23">
        <f>IF(AND(Information!$C$15="Silage-Corn",Information!$K$23&gt;0,Information!$E$23&gt;0),(1.33*Information!$E$15)-(2.5*Information!$E$23)-(Information!$K$23*0.3*Information!$B$15),IF(AND(Information!$C$15="Silage-Corn",Information!$E$23="",Information!$K$23&gt;0),(1.33*Information!$E$15)-(5)-(Information!$K$23*0.3*Information!$B$15),0))</f>
        <v>0</v>
      </c>
      <c r="G7" s="5" t="s">
        <v>40</v>
      </c>
      <c r="H7" s="23">
        <f>IF(AND(Information!$F$12="Silage-Corn",Information!$K$20&gt;0,Information!$E$20&gt;0),(1.33*Information!$H$12)-(2.5*Information!$E$20)-(Information!$K$20*0.3*Information!$B$12),IF(AND(Information!$F$12="Silage-Corn",Information!$E$20="",Information!$K$20&gt;0),(1.33*Information!$H$12)-(5)-(Information!$K$20*0.3*Information!$B$12),0))</f>
        <v>0</v>
      </c>
      <c r="I7" s="23">
        <f>IF(AND(Information!$F$13="Silage-Corn",Information!$K$21&gt;0,Information!$E$21&gt;0),(1.33*Information!$H$13)-(2.5*Information!$E$21)-(Information!$K$21*0.3*Information!$B$13),IF(AND(Information!$F$13="Silage-Corn",Information!$E$21="",Information!$K$21&gt;0),(1.33*Information!$H$13)-(5)-(Information!$K$21*0.3*Information!$B$13),0))</f>
        <v>0</v>
      </c>
      <c r="J7" s="23">
        <f>IF(AND(Information!$F$14="Silage-Corn",Information!$K$22&gt;0,Information!$E$22&gt;0),(1.33*Information!$H$14)-(2.5*Information!$E$22)-(Information!$K$22*0.3*Information!$B$14),IF(AND(Information!$F$14="Silage-Corn",Information!$E$22="",Information!$K$22&gt;0),(1.33*Information!$H$14)-(5)-(Information!$K$22*0.3*Information!$B$14),0))</f>
        <v>0</v>
      </c>
      <c r="K7" s="23">
        <f>IF(AND(Information!$F$15="Silage-Corn",Information!$K$23&gt;0,Information!$E$23&gt;0),(1.33*Information!$H$15)-(2.5*Information!$E$23)-(Information!$K$23*0.3*Information!$B$15),IF(AND(Information!$F$15="Silage-Corn",Information!$E$23="",Information!$K$23&gt;0),(1.33*Information!$H$15)-(5)-(Information!$K$23*0.3*Information!$B$15),0))</f>
        <v>0</v>
      </c>
      <c r="M7" s="5" t="s">
        <v>40</v>
      </c>
      <c r="N7" s="23">
        <f>IF(AND(Information!$I$12="Silage-Corn",Information!$K$20&gt;0,Information!$E$20&gt;0),(1.33*Information!$K$12)-(2.5*Information!$E$20)-(Information!$K$20*0.3*Information!$B$12),IF(AND(Information!$I$12="Silage-Corn",Information!$E$20="",Information!$K$20&gt;0),(1.33*Information!$K$12)-(5)-(Information!$K$20*0.3*Information!$B$12),0))</f>
        <v>0</v>
      </c>
      <c r="O7" s="23">
        <f>IF(AND(Information!$I$13="Silage-Corn",Information!$K$21&gt;0,Information!$E$21&gt;0),(1.33*Information!$K$13)-(2.5*Information!$E$21)-(Information!$K$21*0.3*Information!$B$13),IF(AND(Information!$I$13="Silage-Corn",Information!$E$21="",Information!$K$21&gt;0),(1.33*Information!$K$13)-(5)-(Information!$K$21*0.3*Information!$B$13),0))</f>
        <v>0</v>
      </c>
      <c r="P7" s="23">
        <f>IF(AND(Information!$I$14="Silage-Corn",Information!$K$22&gt;0,Information!$E$22&gt;0),(1.33*Information!$K$14)-(2.5*Information!$E$22)-(Information!$K$22*0.3*Information!$B$14),IF(AND(Information!$I$14="Silage-Corn",Information!$E$22="",Information!$K$22&gt;0),(1.33*Information!$K$14)-(5)-(Information!$K$22*0.3*Information!$B$14),0))</f>
        <v>0</v>
      </c>
      <c r="Q7" s="23">
        <f>IF(AND(Information!$I$15="Silage-Corn",Information!$K$23&gt;0,Information!$E$23&gt;0),(1.33*Information!$K$15)-(2.5*Information!$E$23)-(Information!$K$23*0.3*Information!$B$15),IF(AND(Information!$I$15="Silage-Corn",Information!$E$23="",Information!$K$23&gt;0),(1.33*Information!$K$15)-(5)-(Information!$K$23*0.3*Information!$B$15),0))</f>
        <v>0</v>
      </c>
    </row>
    <row r="8" spans="1:17" x14ac:dyDescent="0.2">
      <c r="A8" s="5" t="s">
        <v>41</v>
      </c>
      <c r="B8" s="23">
        <f>IF(AND(Information!$C$12="Silage-Sorghum",Information!$K$20&gt;0,Information!$E$20&gt;0),(1.33*Information!$E$12)-(2.5*Information!$E$20)-(Information!$K$20*0.3*Information!$B$12),IF(AND(Information!$C$12="Silage-Sorghum",Information!$E$20="",Information!$K$20&gt;0),(1.33*Information!$E$12)-(5)-(Information!$K$20*0.3*Information!$B$12),0))</f>
        <v>0</v>
      </c>
      <c r="C8" s="23">
        <f>IF(AND(Information!$C$13="Silage-Sorghum",Information!$K$21&gt;0,Information!$E$21&gt;0),(1.33*Information!$E$13)-(2.5*Information!$E$21)-(Information!$K$21*0.3*Information!$B$13),IF(AND(Information!$C$13="Silage-Sorghum",Information!$E$21="",Information!$K$21&gt;0),(1.33*Information!$E$13)-(5)-(Information!$K$21*0.3*Information!$B$13),0))</f>
        <v>0</v>
      </c>
      <c r="D8" s="23">
        <f>IF(AND(Information!$C$14="Silage-Sorghum",Information!$K$22&gt;0,Information!$E$22&gt;0),(1.33*Information!$E$14)-(2.5*Information!$E$22)-(Information!$K$22*0.3*Information!$B$14),IF(AND(Information!$C$14="Silage-Sorghum",Information!$E$22="",Information!$K$22&gt;0),(1.33*Information!$E$14)-(5)-(Information!$K$22*0.3*Information!$B$14),0))</f>
        <v>0</v>
      </c>
      <c r="E8" s="23">
        <f>IF(AND(Information!$C$15="Silage-Sorghum",Information!$K$23&gt;0,Information!$E$23&gt;0),(1.33*Information!$E$15)-(2.5*Information!$E$23)-(Information!$K$23*0.3*Information!$B$15),IF(AND(Information!$C$15="Silage-Sorghum",Information!$E$23="",Information!$K$23&gt;0),(1.33*Information!$E$15)-(5)-(Information!$K$23*0.3*Information!$B$15),0))</f>
        <v>0</v>
      </c>
      <c r="G8" s="5" t="s">
        <v>41</v>
      </c>
      <c r="H8" s="23">
        <f>IF(AND(Information!$F$12="Silage-Sorghum",Information!$K$20&gt;0,Information!$E$20&gt;0),(1.33*Information!$H$12)-(2.5*Information!$E$20)-(Information!$K$20*0.3*Information!$B$12),IF(AND(Information!$F$12="Silage-Sorghum",Information!$E$20="",Information!$K$20&gt;0),(1.33*Information!$H$12)-(5)-(Information!$K$20*0.3*Information!$B$12),0))</f>
        <v>0</v>
      </c>
      <c r="I8" s="23">
        <f>IF(AND(Information!$F$13="Silage-Sorghum",Information!$K$21&gt;0,Information!$E$21&gt;0),(1.33*Information!$H$13)-(2.5*Information!$E$21)-(Information!$K$21*0.3*Information!$B$13),IF(AND(Information!$F$13="Silage-Sorghum",Information!$E$21="",Information!$K$21&gt;0),(1.33*Information!$H$13)-(5)-(Information!$K$21*0.3*Information!$B$13),0))</f>
        <v>0</v>
      </c>
      <c r="J8" s="23">
        <f>IF(AND(Information!$F$14="Silage-Sorghum",Information!$K$22&gt;0,Information!$E$22&gt;0),(1.33*Information!$H$14)-(2.5*Information!$E$22)-(Information!$K$22*0.3*Information!$B$14),IF(AND(Information!$F$14="Silage-Sorghum",Information!$E$22="",Information!$K$22&gt;0),(1.33*Information!$H$14)-(5)-(Information!$K$22*0.3*Information!$B$14),0))</f>
        <v>0</v>
      </c>
      <c r="K8" s="23">
        <f>IF(AND(Information!$F$15="Silage-Sorghum",Information!$K$23&gt;0,Information!$E$23&gt;0),(1.33*Information!$H$15)-(2.5*Information!$E$23)-(Information!$K$23*0.3*Information!$B$15),IF(AND(Information!$F$15="Silage-Sorghum",Information!$E$23="",Information!$K$23&gt;0),(1.33*Information!$H$15)-(5)-(Information!$K$23*0.3*Information!$B$15),0))</f>
        <v>0</v>
      </c>
      <c r="M8" s="5" t="s">
        <v>41</v>
      </c>
      <c r="N8" s="23">
        <f>IF(AND(Information!$I$12="Silage-Sorghum",Information!$K$20&gt;0,Information!$E$20&gt;0),(1.33*Information!$K$12)-(2.5*Information!$E$20)-(Information!$K$20*0.3*Information!$B$12),IF(AND(Information!$I$12="Silage-Sorghum",Information!$E$20="",Information!$K$20&gt;0),(1.33*Information!$K$12)-(5)-(Information!$K$20*0.3*Information!$B$12),0))</f>
        <v>0</v>
      </c>
      <c r="O8" s="23">
        <f>IF(AND(Information!$I$13="Silage-Sorghum",Information!$K$21&gt;0,Information!$E$21&gt;0),(1.33*Information!$K$13)-(2.5*Information!$E$21)-(Information!$K$21*0.3*Information!$B$13),IF(AND(Information!$I$13="Silage-Sorghum",Information!$E$21="",Information!$K$21&gt;0),(1.33*Information!$K$13)-(5)-(Information!$K$21*0.3*Information!$B$13),0))</f>
        <v>0</v>
      </c>
      <c r="P8" s="23">
        <f>IF(AND(Information!$I$14="Silage-Sorghum",Information!$K$22&gt;0,Information!$E$22&gt;0),(1.33*Information!$K$14)-(2.5*Information!$E$22)-(Information!$K$22*0.3*Information!$B$14),IF(AND(Information!$I$14="Silage-Sorghum",Information!$E$22="",Information!$K$22&gt;0),(1.33*Information!$K$14)-(5)-(Information!$K$22*0.3*Information!$B$14),0))</f>
        <v>0</v>
      </c>
      <c r="Q8" s="23">
        <f>IF(AND(Information!$I$15="Silage-Sorghum",Information!$K$23&gt;0,Information!$E$23&gt;0),(1.33*Information!$K$15)-(2.5*Information!$E$23)-(Information!$K$23*0.3*Information!$B$15),IF(AND(Information!$I$15="Silage-Sorghum",Information!$E$23="",Information!$K$23&gt;0),(1.33*Information!$K$15)-(5)-(Information!$K$23*0.3*Information!$B$15),0))</f>
        <v>0</v>
      </c>
    </row>
    <row r="9" spans="1:17" x14ac:dyDescent="0.2">
      <c r="A9" s="5" t="s">
        <v>42</v>
      </c>
      <c r="B9" s="23">
        <f>IF(AND(Information!$C$12="Sunflower",Information!$K$20&gt;0,Information!$E$20&gt;0),(0.005*Information!$E$12)-(2.5*Information!$E$20)-(Information!$K$20*0.3*Information!$B$12),IF(AND(Information!$C$12="Sunflower",Information!$E$20="",Information!$K$20&gt;0),(0.005*Information!$E$12)-(5)-(Information!$K$20*0.3*Information!$B$12),0))</f>
        <v>0</v>
      </c>
      <c r="C9" s="23">
        <f>IF(AND(Information!$C$13="Sunflower",Information!$K$21&gt;0,Information!$E$21&gt;0),(0.005*Information!$E$13)-(2.5*Information!$E$21)-(Information!$K$21*0.3*Information!$B$13),IF(AND(Information!$C$13="Sunflower",Information!$E$21="",Information!$K$21&gt;0),(0.005*Information!$E$13)-(5)-(Information!$K$21*0.3*Information!$B$13),0))</f>
        <v>0</v>
      </c>
      <c r="D9" s="23">
        <f>IF(AND(Information!$C$14="Sunflower",Information!$K$22&gt;0,Information!$E$22&gt;0),(0.005*Information!$E$14)-(2.5*Information!$E$22)-(Information!$K$22*0.3*Information!$B$14),IF(AND(Information!$C$14="Sunflower",Information!$E$22="",Information!$K$22&gt;0),(0.005*Information!$E$14)-(5)-(Information!$K$22*0.3*Information!$B$14),0))</f>
        <v>0</v>
      </c>
      <c r="E9" s="23">
        <f>IF(AND(Information!$C$15="Sunflower",Information!$K$23&gt;0,Information!$E$23&gt;0),(0.005*Information!$E$15)-(2.5*Information!$E$23)-(Information!$K$23*0.3*Information!$B$15),IF(AND(Information!$C$15="Sunflower",Information!$E$23="",Information!$K$23&gt;0),(0.005*Information!$E$15)-(5)-(Information!$K$23*0.3*Information!$B$15),0))</f>
        <v>0</v>
      </c>
      <c r="G9" s="5" t="s">
        <v>42</v>
      </c>
      <c r="H9" s="23">
        <f>IF(AND(Information!$F$12="Sunflower",Information!$K$20&gt;0,Information!$E$20&gt;0),(0.005*Information!$H$12)-(2.5*Information!$E$20)-(Information!$K$20*0.3*Information!$B$12),IF(AND(Information!$F$12="Sunflower",Information!$E$20="",Information!$K$20&gt;0),(0.005*Information!$H$12)-(5)-(Information!$K$20*0.3*Information!$B$12),0))</f>
        <v>0</v>
      </c>
      <c r="I9" s="23">
        <f>IF(AND(Information!$F$13="Sunflower",Information!$K$21&gt;0,Information!$E$21&gt;0),(0.005*Information!$H$13)-(2.5*Information!$E$21)-(Information!$K$21*0.3*Information!$B$13),IF(AND(Information!$F$13="Sunflower",Information!$E$21="",Information!$K$21&gt;0),(0.005*Information!$H$13)-(5)-(Information!$K$21*0.3*Information!$B$13),0))</f>
        <v>0</v>
      </c>
      <c r="J9" s="23">
        <f>IF(AND(Information!$F$14="Sunflower",Information!$K$22&gt;0,Information!$E$22&gt;0),(0.005*Information!$H$14)-(2.5*Information!$E$22)-(Information!$K$22*0.3*Information!$B$14),IF(AND(Information!$F$14="Sunflower",Information!$E$22="",Information!$K$22&gt;0),(0.005*Information!$H$14)-(5)-(Information!$K$22*0.3*Information!$B$14),0))</f>
        <v>0</v>
      </c>
      <c r="K9" s="23">
        <f>IF(AND(Information!$F$15="Sunflower",Information!$K$23&gt;0,Information!$E$23&gt;0),(0.005*Information!$H$15)-(2.5*Information!$E$23)-(Information!$K$23*0.3*Information!$B$15),IF(AND(Information!$F$15="Sunflower",Information!$E$23="",Information!$K$23&gt;0),(0.005*Information!$H$15)-(5)-(Information!$K$23*0.3*Information!$B$15),0))</f>
        <v>0</v>
      </c>
      <c r="M9" s="5" t="s">
        <v>42</v>
      </c>
      <c r="N9" s="23">
        <f>IF(AND(Information!$I$12="Sunflower",Information!$K$20&gt;0,Information!$E$20&gt;0),(0.005*Information!$K$12)-(2.5*Information!$E$20)-(Information!$K$20*0.3*Information!$B$12),IF(AND(Information!$I$12="Sunflower",Information!$E$20="",Information!$K$20&gt;0),(0.005*Information!$K$12)-(5)-(Information!$K$20*0.3*Information!$B$12),0))</f>
        <v>0</v>
      </c>
      <c r="O9" s="23">
        <f>IF(AND(Information!$I$13="Sunflower",Information!$K$21&gt;0,Information!$E$21&gt;0),(0.005*Information!$K$13)-(2.5*Information!$E$21)-(Information!$K$21*0.3*Information!$B$13),IF(AND(Information!$I$13="Sunflower",Information!$E$21="",Information!$K$21&gt;0),(0.005*Information!$K$13)-(5)-(Information!$K$21*0.3*Information!$B$13),0))</f>
        <v>0</v>
      </c>
      <c r="P9" s="23">
        <f>IF(AND(Information!$I$14="Sunflower",Information!$K$22&gt;0,Information!$E$22&gt;0),(0.005*Information!$K$14)-(2.5*Information!$E$22)-(Information!$K$22*0.3*Information!$B$14),IF(AND(Information!$I$14="Sunflower",Information!$E$22="",Information!$K$22&gt;0),(0.005*Information!$K$14)-(5)-(Information!$K$22*0.3*Information!$B$14),0))</f>
        <v>0</v>
      </c>
      <c r="Q9" s="23">
        <f>IF(AND(Information!$I$15="Sunflower",Information!$K$23&gt;0,Information!$E$23&gt;0),(0.005*Information!$K$15)-(2.5*Information!$E$23)-(Information!$K$23*0.3*Information!$B$15),IF(AND(Information!$I$15="Sunflower",Information!$E$23="",Information!$K$23&gt;0),(0.005*Information!$K$15)-(5)-(Information!$K$23*0.3*Information!$B$15),0))</f>
        <v>0</v>
      </c>
    </row>
    <row r="10" spans="1:17" x14ac:dyDescent="0.2">
      <c r="A10" s="5" t="s">
        <v>43</v>
      </c>
      <c r="B10" s="23">
        <v>0</v>
      </c>
      <c r="C10" s="23">
        <v>0</v>
      </c>
      <c r="D10" s="23">
        <v>0</v>
      </c>
      <c r="E10" s="23">
        <v>0</v>
      </c>
      <c r="G10" s="5" t="s">
        <v>43</v>
      </c>
      <c r="H10" s="23">
        <v>0</v>
      </c>
      <c r="I10" s="23">
        <v>0</v>
      </c>
      <c r="J10" s="23">
        <v>0</v>
      </c>
      <c r="K10" s="23">
        <v>0</v>
      </c>
      <c r="M10" s="5" t="s">
        <v>43</v>
      </c>
      <c r="N10" s="23">
        <v>0</v>
      </c>
      <c r="O10" s="23">
        <v>0</v>
      </c>
      <c r="P10" s="23">
        <v>0</v>
      </c>
      <c r="Q10" s="23">
        <v>0</v>
      </c>
    </row>
    <row r="11" spans="1:17" x14ac:dyDescent="0.2">
      <c r="A11" s="5" t="s">
        <v>56</v>
      </c>
      <c r="B11" s="23">
        <f>IF(AND(Information!$C$12="Brome",Information!$K$20&gt;0,Information!$E$20&gt;0),(5*Information!$E$12)-(2.5*Information!$E$20)-(Information!$K$20*0.3*Information!$B$12),IF(AND(Information!$C$12="Brome",Information!$E$20="",Information!$K$20&gt;0),(5*Information!$E$12)-(5)-(Information!$K$20*0.3*Information!$B$12),0))</f>
        <v>0</v>
      </c>
      <c r="C11" s="23">
        <f>IF(AND(Information!$C$13="Brome",Information!$K$21&gt;0,Information!$E$21&gt;0),(5*Information!$E$13)-(2.5*Information!$E$21)-(Information!$K$21*0.3*Information!$B$13),IF(AND(Information!$C$13="Brome",Information!$E$21="",Information!$K$21&gt;0),(5*Information!$E$13)-(5)-(Information!$K$21*0.3*Information!$B$13),0))</f>
        <v>0</v>
      </c>
      <c r="D11" s="23">
        <f>IF(AND(Information!$C$14="Brome",Information!$K$22&gt;0,Information!$E$22&gt;0),(5*Information!$E$14)-(2.5*Information!$E$22)-(Information!$K$22*0.3*Information!$B$14),IF(AND(Information!$C$14="Brome",Information!$E$22="",Information!$K$22&gt;0),(5*Information!$E$14)-(5)-(Information!$K$22*0.3*Information!$B$14),0))</f>
        <v>0</v>
      </c>
      <c r="E11" s="23">
        <f>IF(AND(Information!$C$15="Brome",Information!$K$23&gt;0,Information!$E$23&gt;0),(5*Information!$E$15)-(2.5*Information!$E$23)-(Information!$K$23*0.3*Information!$B$15),IF(AND(Information!$C$15="Brome",Information!$E$23="",Information!$K$23&gt;0),(5*Information!$E$15)-(5)-(Information!$K$23*0.3*Information!$B$15),0))</f>
        <v>0</v>
      </c>
      <c r="G11" s="5" t="s">
        <v>56</v>
      </c>
      <c r="H11" s="23">
        <f>IF(AND(Information!$F$12="Brome",Information!$K$20&gt;0,Information!$E$20&gt;0),(5*Information!$H$12)-(2.5*Information!$E$20)-(Information!$K$20*0.3*Information!$B$12),IF(AND(Information!$F$12="Brome",Information!$E$20="",Information!$K$20&gt;0),(5*Information!$H$12)-(5)-(Information!$K$20*0.3*Information!$B$12),0))</f>
        <v>0</v>
      </c>
      <c r="I11" s="23">
        <f>IF(AND(Information!$F$13="Brome",Information!$K$21&gt;0,Information!$E$21&gt;0),(5*Information!$H$13)-(2.5*Information!$E$21)-(Information!$K$21*0.3*Information!$B$13),IF(AND(Information!$F$13="Brome",Information!$E$21="",Information!$K$21&gt;0),(5*Information!$H$13)-(5)-(Information!$K$21*0.3*Information!$B$13),0))</f>
        <v>0</v>
      </c>
      <c r="J11" s="23">
        <f>IF(AND(Information!$F$14="Brome",Information!$K$22&gt;0,Information!$E$22&gt;0),(5*Information!$H$14)-(2.5*Information!$E$22)-(Information!$K$22*0.3*Information!$B$14),IF(AND(Information!$F$14="Brome",Information!$E$22="",Information!$K$22&gt;0),(5*Information!$H$14)-(5)-(Information!$K$22*0.3*Information!$B$14),0))</f>
        <v>0</v>
      </c>
      <c r="K11" s="23">
        <f>IF(AND(Information!$F$15="Brome",Information!$K$23&gt;0,Information!$E$23&gt;0),(5*Information!$H$15)-(2.5*Information!$E$23)-(Information!$K$23*0.3*Information!$B$15),IF(AND(Information!$F$15="Brome",Information!$E$23="",Information!$K$23&gt;0),(5*Information!$H$15)-(5)-(Information!$K$23*0.3*Information!$B$15),0))</f>
        <v>0</v>
      </c>
      <c r="M11" s="5" t="s">
        <v>56</v>
      </c>
      <c r="N11" s="23">
        <f>IF(AND(Information!$I$12="Brome",Information!$K$20&gt;0,Information!$E$20&gt;0),(5*Information!$K$12)-(2.5*Information!$E$20)-(Information!$K$20*0.3*Information!$B$12),IF(AND(Information!$I$12="Brome",Information!$E$20="",Information!$K$20&gt;0),(5*Information!$K$12)-(5)-(Information!$K$20*0.3*Information!$B$12),0))</f>
        <v>0</v>
      </c>
      <c r="O11" s="23">
        <f>IF(AND(Information!$I$13="Brome",Information!$K$21&gt;0,Information!$E$21&gt;0),(5*Information!$K$13)-(2.5*Information!$E$21)-(Information!$K$21*0.3*Information!$B$13),IF(AND(Information!$I$13="Brome",Information!$E$21="",Information!$K$21&gt;0),(5*Information!$K$13)-(5)-(Information!$K$21*0.3*Information!$B$13),0))</f>
        <v>0</v>
      </c>
      <c r="P11" s="23">
        <f>IF(AND(Information!$I$14="Brome",Information!$K$22&gt;0,Information!$E$22&gt;0),(5*Information!$K$14)-(2.5*Information!$E$22)-(Information!$K$22*0.3*Information!$B$14),IF(AND(Information!$I$14="Brome",Information!$E$22="",Information!$K$22&gt;0),(5*Information!$K$14)-(5)-(Information!$K$22*0.3*Information!$B$14),0))</f>
        <v>0</v>
      </c>
      <c r="Q11" s="23">
        <f>IF(AND(Information!$I$15="Brome",Information!$K$23&gt;0,Information!$E$23&gt;0),(5*Information!$K$15)-(2.5*Information!$E$23)-(Information!$K$23*0.3*Information!$B$15),IF(AND(Information!$I$15="Brome",Information!$E$23="",Information!$K$23&gt;0),(5*Information!$K$15)-(5)-(Information!$K$23*0.3*Information!$B$15),0))</f>
        <v>0</v>
      </c>
    </row>
    <row r="12" spans="1:17" x14ac:dyDescent="0.2">
      <c r="A12" s="5" t="s">
        <v>44</v>
      </c>
      <c r="B12" s="23">
        <f>IF(AND(Information!$C$12="Fescue",Information!$K$20&gt;0,Information!$E$20&gt;0),(5*Information!$E$12)-(2.5*Information!$E$20)-(Information!$K$20*0.3*Information!$B$12),IF(AND(Information!$C$12="Fescue",Information!$E$20="",Information!$K$20&gt;0),(5*Information!$E$12)-(5)-(Information!$K$20*0.3*Information!$B$12),0))</f>
        <v>0</v>
      </c>
      <c r="C12" s="23">
        <f>IF(AND(Information!$C$13="Fescue",Information!$K$21&gt;0,Information!$E$21&gt;0),(5*Information!$E$13)-(2.5*Information!$E$21)-(Information!$K$21*0.3*Information!$B$13),IF(AND(Information!$C$13="Fescue",Information!$E$21="",Information!$K$21&gt;0),(5*Information!$E$13)-(5)-(Information!$K$21*0.3*Information!$B$13),0))</f>
        <v>0</v>
      </c>
      <c r="D12" s="23">
        <f>IF(AND(Information!$C$14="Fescue",Information!$K$22&gt;0,Information!$E$22&gt;0),(5*Information!$E$14)-(2.5*Information!$E$22)-(Information!$K$22*0.3*Information!$B$14),IF(AND(Information!$C$14="Fescue",Information!$E$22="",Information!$K$22&gt;0),(5*Information!$E$14)-(5)-(Information!$K$22*0.3*Information!$B$14),0))</f>
        <v>0</v>
      </c>
      <c r="E12" s="23">
        <f>IF(AND(Information!$C$15="Fescue",Information!$K$23&gt;0,Information!$E$23&gt;0),(5*Information!$E$15)-(2.5*Information!$E$23)-(Information!$K$23*0.3*Information!$B$15),IF(AND(Information!$C$15="Fescue",Information!$E$23="",Information!$K$23&gt;0),(5*Information!$E$15)-(5)-(Information!$K$23*0.3*Information!$B$15),0))</f>
        <v>0</v>
      </c>
      <c r="G12" s="5" t="s">
        <v>44</v>
      </c>
      <c r="H12" s="23">
        <f>IF(AND(Information!$F$12="Fescue",Information!$K$20&gt;0,Information!$E$20&gt;0),(5*Information!$H$12)-(2.5*Information!$E$20)-(Information!$K$20*0.3*Information!$B$12),IF(AND(Information!$F$12="Fescue",Information!$E$20="",Information!$K$20&gt;0),(5*Information!$H$12)-(5)-(Information!$K$20*0.3*Information!$B$12),0))</f>
        <v>0</v>
      </c>
      <c r="I12" s="23">
        <f>IF(AND(Information!$F$13="Fescue",Information!$K$21&gt;0,Information!$E$21&gt;0),(5*Information!$H$13)-(2.5*Information!$E$21)-(Information!$K$21*0.3*Information!$B$13),IF(AND(Information!$F$13="Fescue",Information!$E$21="",Information!$K$21&gt;0),(5*Information!$H$13)-(5)-(Information!$K$21*0.3*Information!$B$13),0))</f>
        <v>0</v>
      </c>
      <c r="J12" s="23">
        <f>IF(AND(Information!$F$14="Fescue",Information!$K$22&gt;0,Information!$E$22&gt;0),(5*Information!$H$14)-(2.5*Information!$E$22)-(Information!$K$22*0.3*Information!$B$14),IF(AND(Information!$F$14="Fescue",Information!$E$22="",Information!$K$22&gt;0),(5*Information!$H$14)-(5)-(Information!$K$22*0.3*Information!$B$14),0))</f>
        <v>0</v>
      </c>
      <c r="K12" s="23">
        <f>IF(AND(Information!$F$15="Fescue",Information!$K$23&gt;0,Information!$E$23&gt;0),(5*Information!$H$15)-(2.5*Information!$E$23)-(Information!$K$23*0.3*Information!$B$15),IF(AND(Information!$F$15="Fescue",Information!$E$23="",Information!$K$23&gt;0),(5*Information!$H$15)-(5)-(Information!$K$23*0.3*Information!$B$15),0))</f>
        <v>0</v>
      </c>
      <c r="M12" s="5" t="s">
        <v>44</v>
      </c>
      <c r="N12" s="23">
        <f>IF(AND(Information!$I$12="Fescue",Information!$K$20&gt;0,Information!$E$20&gt;0),(5*Information!$K$12)-(2.5*Information!$E$20)-(Information!$K$20*0.3*Information!$B$12),IF(AND(Information!$I$12="Fescue",Information!$E$20="",Information!$K$20&gt;0),(5*Information!$K$12)-(5)-(Information!$K$20*0.3*Information!$B$12),0))</f>
        <v>0</v>
      </c>
      <c r="O12" s="23">
        <f>IF(AND(Information!$I$13="Fescue",Information!$K$21&gt;0,Information!$E$21&gt;0),(5*Information!$K$13)-(2.5*Information!$E$21)-(Information!$K$21*0.3*Information!$B$13),IF(AND(Information!$I$13="Fescue",Information!$E$21="",Information!$K$21&gt;0),(5*Information!$K$13)-(5)-(Information!$K$21*0.3*Information!$B$13),0))</f>
        <v>0</v>
      </c>
      <c r="P12" s="23">
        <f>IF(AND(Information!$I$14="Fescue",Information!$K$22&gt;0,Information!$E$22&gt;0),(5*Information!$K$14)-(2.5*Information!$E$22)-(Information!$K$22*0.3*Information!$B$14),IF(AND(Information!$I$14="Fescue",Information!$E$22="",Information!$K$22&gt;0),(5*Information!$K$14)-(5)-(Information!$K$22*0.3*Information!$B$14),0))</f>
        <v>0</v>
      </c>
      <c r="Q12" s="23">
        <f>IF(AND(Information!$I$15="Fescue",Information!$K$23&gt;0,Information!$E$23&gt;0),(5*Information!$K$15)-(2.5*Information!$E$23)-(Information!$K$23*0.3*Information!$B$15),IF(AND(Information!$I$15="Fescue",Information!$E$23="",Information!$K$23&gt;0),(5*Information!$K$15)-(5)-(Information!$K$23*0.3*Information!$B$15),0))</f>
        <v>0</v>
      </c>
    </row>
    <row r="13" spans="1:17" x14ac:dyDescent="0.2">
      <c r="A13" s="5" t="s">
        <v>45</v>
      </c>
      <c r="B13" s="23">
        <f>IF(AND(Information!$C$12="Bermuda",Information!$K$20&gt;0,Information!$E$20&gt;0),(5*Information!$E$12)-(2.5*Information!$E$20)-(Information!$K$20*0.3*Information!$B$12),IF(AND(Information!$C$12="Bermuda",Information!$E$20="",Information!$K$20&gt;0),(5*Information!$E$12)-(5)-(Information!$K$20*0.3*Information!$B$12),0))</f>
        <v>0</v>
      </c>
      <c r="C13" s="23">
        <f>IF(AND(Information!$C$13="Bermuda",Information!$K$21&gt;0,Information!$E$21&gt;0),(5*Information!$E$13)-(2.5*Information!$E$21)-(Information!$K$21*0.3*Information!$B$13),IF(AND(Information!$C$13="Bermuda",Information!$E$21="",Information!$K$21&gt;0),(5*Information!$E$13)-(5)-(Information!$K$21*0.3*Information!$B$13),0))</f>
        <v>0</v>
      </c>
      <c r="D13" s="23">
        <f>IF(AND(Information!$C$14="Bermuda",Information!$K$22&gt;0,Information!$E$22&gt;0),(5*Information!$E$14)-(2.5*Information!$E$22)-(Information!$K$22*0.3*Information!$B$14),IF(AND(Information!$C$14="Bermuda",Information!$E$22="",Information!$K$22&gt;0),(5*Information!$E$14)-(5)-(Information!$K$22*0.3*Information!$B$14),0))</f>
        <v>0</v>
      </c>
      <c r="E13" s="23">
        <f>IF(AND(Information!$C$15="Bermuda",Information!$K$23&gt;0,Information!$E$23&gt;0),(5*Information!$E$15)-(2.5*Information!$E$23)-(Information!$K$23*0.3*Information!$B$15),IF(AND(Information!$C$15="Bermuda",Information!$E$23="",Information!$K$23&gt;0),(5*Information!$E$15)-(5)-(Information!$K$23*0.3*Information!$B$15),0))</f>
        <v>0</v>
      </c>
      <c r="G13" s="5" t="s">
        <v>45</v>
      </c>
      <c r="H13" s="23">
        <f>IF(AND(Information!$F$12="Bermuda",Information!$K$20&gt;0,Information!$E$20&gt;0),(5*Information!$H$12)-(2.5*Information!$E$20)-(Information!$K$20*0.3*Information!$B$12),IF(AND(Information!$F$12="Bermuda",Information!$E$20="",Information!$K$20&gt;0),(5*Information!$H$12)-(5)-(Information!$K$20*0.3*Information!$B$12),0))</f>
        <v>0</v>
      </c>
      <c r="I13" s="23">
        <f>IF(AND(Information!$F$13="Bermuda",Information!$K$21&gt;0,Information!$E$21&gt;0),(5*Information!$H$13)-(2.5*Information!$E$21)-(Information!$K$21*0.3*Information!$B$13),IF(AND(Information!$F$13="Bermuda",Information!$E$21="",Information!$K$21&gt;0),(5*Information!$H$13)-(5)-(Information!$K$21*0.3*Information!$B$13),0))</f>
        <v>0</v>
      </c>
      <c r="J13" s="23">
        <f>IF(AND(Information!$F$14="Bermuda",Information!$K$22&gt;0,Information!$E$22&gt;0),(5*Information!$H$14)-(2.5*Information!$E$22)-(Information!$K$22*0.3*Information!$B$14),IF(AND(Information!$F$14="Bermuda",Information!$E$22="",Information!$K$22&gt;0),(5*Information!$H$14)-(5)-(Information!$K$22*0.3*Information!$B$14),0))</f>
        <v>0</v>
      </c>
      <c r="K13" s="23">
        <f>IF(AND(Information!$F$15="Bermuda",Information!$K$23&gt;0,Information!$E$23&gt;0),(5*Information!$H$15)-(2.5*Information!$E$23)-(Information!$K$23*0.3*Information!$B$15),IF(AND(Information!$F$15="Bermuda",Information!$E$23="",Information!$K$23&gt;0),(5*Information!$H$15)-(5)-(Information!$K$23*0.3*Information!$B$15),0))</f>
        <v>0</v>
      </c>
      <c r="M13" s="5" t="s">
        <v>45</v>
      </c>
      <c r="N13" s="23">
        <f>IF(AND(Information!$I$12="Bermuda",Information!$K$20&gt;0,Information!$E$20&gt;0),(5*Information!$K$12)-(2.5*Information!$E$20)-(Information!$K$20*0.3*Information!$B$12),IF(AND(Information!$I$12="Bermuda",Information!$E$20="",Information!$K$20&gt;0),(5*Information!$K$12)-(5)-(Information!$K$20*0.3*Information!$B$12),0))</f>
        <v>0</v>
      </c>
      <c r="O13" s="23">
        <f>IF(AND(Information!$I$13="Bermuda",Information!$K$21&gt;0,Information!$E$21&gt;0),(5*Information!$K$13)-(2.5*Information!$E$21)-(Information!$K$21*0.3*Information!$B$13),IF(AND(Information!$I$13="Bermuda",Information!$E$21="",Information!$K$21&gt;0),(5*Information!$K$13)-(5)-(Information!$K$21*0.3*Information!$B$13),0))</f>
        <v>0</v>
      </c>
      <c r="P13" s="23">
        <f>IF(AND(Information!$I$14="Bermuda",Information!$K$22&gt;0,Information!$E$22&gt;0),(5*Information!$K$14)-(2.5*Information!$E$22)-(Information!$K$22*0.3*Information!$B$14),IF(AND(Information!$I$14="Bermuda",Information!$E$22="",Information!$K$22&gt;0),(5*Information!$K$14)-(5)-(Information!$K$22*0.3*Information!$B$14),0))</f>
        <v>0</v>
      </c>
      <c r="Q13" s="23">
        <f>IF(AND(Information!$I$15="Bermuda",Information!$K$23&gt;0,Information!$E$23&gt;0),(5*Information!$K$15)-(2.5*Information!$E$23)-(Information!$K$23*0.3*Information!$B$15),IF(AND(Information!$I$15="Bermuda",Information!$E$23="",Information!$K$23&gt;0),(5*Information!$K$15)-(5)-(Information!$K$23*0.3*Information!$B$15),0))</f>
        <v>0</v>
      </c>
    </row>
    <row r="14" spans="1:17" x14ac:dyDescent="0.2">
      <c r="A14" s="5" t="s">
        <v>48</v>
      </c>
      <c r="B14" s="23"/>
      <c r="C14" s="23"/>
      <c r="D14" s="23"/>
      <c r="E14" s="23"/>
      <c r="G14" s="5" t="s">
        <v>48</v>
      </c>
      <c r="H14" s="23"/>
      <c r="I14" s="23"/>
      <c r="J14" s="23"/>
      <c r="K14" s="23"/>
      <c r="M14" s="5" t="s">
        <v>48</v>
      </c>
      <c r="N14" s="23"/>
      <c r="O14" s="23"/>
      <c r="P14" s="23"/>
      <c r="Q14" s="23"/>
    </row>
    <row r="15" spans="1:17" x14ac:dyDescent="0.2">
      <c r="A15" s="5" t="s">
        <v>32</v>
      </c>
      <c r="B15" s="23">
        <f>IF(AND(Information!$C$12="Soybeans",Information!$K$20&gt;0,Information!$E$20&gt;0),(0.4*Information!$E$12)-(2.5*Information!$E$20)-(Information!$K$20*0.3*Information!$B$12),IF(AND(Information!$C$12="Soybeans",Information!$E$20="",Information!$K$20&gt;0),(0.4*Information!$E$12)-(5)-(Information!$K$20*0.3*Information!$B$12),0))</f>
        <v>0</v>
      </c>
      <c r="C15" s="23">
        <f>IF(AND(Information!$C$13="Soybeans",Information!$K$21&gt;0,Information!$E$21&gt;0),(0.4*Information!$E$13)-(2.5*Information!$E$21)-(Information!$K$21*0.3*Information!$B$13),IF(AND(Information!$C$13="Soybeans",Information!$E$21="",Information!$K$21&gt;0),(0.4*Information!$E$13)-(5)-(Information!$K$21*0.3*Information!$B$13),0))</f>
        <v>0</v>
      </c>
      <c r="D15" s="23">
        <f>IF(AND(Information!$C$14="Soybeans",Information!$K$22&gt;0,Information!$E$22&gt;0),(0.4*Information!$E$14)-(2.5*Information!$E$22)-(Information!$K$22*0.3*Information!$B$14),IF(AND(Information!$C$14="Soybeans",Information!$E$22="",Information!$K$22&gt;0),(0.4*Information!$E$14)-(5)-(Information!$K$22*0.3*Information!$B$14),0))</f>
        <v>0</v>
      </c>
      <c r="E15" s="23">
        <f>IF(AND(Information!$C$15="Soybeans",Information!$K$23&gt;0,Information!$E$23&gt;0),(0.4*Information!$E$15)-(2.5*Information!$E$23)-(Information!$K$23*0.3*Information!$B$15),IF(AND(Information!$C$15="Soybeans",Information!$E$23="",Information!$K$23&gt;0),(0.4*Information!$E$15)-(5)-(Information!$K$23*0.3*Information!$B$15),0))</f>
        <v>0</v>
      </c>
      <c r="G15" s="5" t="s">
        <v>32</v>
      </c>
      <c r="H15" s="23">
        <f>IF(AND(Information!$F$12="Soybeans",Information!$K$20&gt;0,Information!$E$20&gt;0),(0.4*Information!$H$12)-(2.5*Information!$E$20)-(Information!$K$20*0.3*Information!$B$12),IF(AND(Information!$F$12="Soybeans",Information!$E$20="",Information!$K$20&gt;0),(0.4*Information!$H$12)-(5)-(Information!$K$20*0.3*Information!$B$12),0))</f>
        <v>0</v>
      </c>
      <c r="I15" s="23">
        <f>IF(AND(Information!$F$13="Soybeans",Information!$K$21&gt;0,Information!$E$21&gt;0),(0.4*Information!$H$13)-(2.5*Information!$E$21)-(Information!$K$21*0.3*Information!$B$13),IF(AND(Information!$F$13="Soybeans",Information!$E$21="",Information!$K$21&gt;0),(0.4*Information!$H$13)-(5)-(Information!$K$21*0.3*Information!$B$13),0))</f>
        <v>0</v>
      </c>
      <c r="J15" s="23">
        <f>IF(AND(Information!$F$14="Soybeans",Information!$K$22&gt;0,Information!$E$22&gt;0),(0.4*Information!$H$14)-(2.5*Information!$E$22)-(Information!$K$22*0.3*Information!$B$14),IF(AND(Information!$F$14="Soybeans",Information!$E$22="",Information!$K$22&gt;0),(0.4*Information!$H$14)-(5)-(Information!$K$22*0.3*Information!$B$14),0))</f>
        <v>0</v>
      </c>
      <c r="K15" s="23">
        <f>IF(AND(Information!$F$15="Soybeans",Information!$K$23&gt;0,Information!$E$23&gt;0),(0.4*Information!$H$15)-(2.5*Information!$E$23)-(Information!$K$23*0.3*Information!$B$15),IF(AND(Information!$F$15="Soybeans",Information!$E$23="",Information!$K$23&gt;0),(0.4*Information!$H$15)-(5)-(Information!$K$23*0.3*Information!$B$15),0))</f>
        <v>0</v>
      </c>
      <c r="M15" s="5" t="s">
        <v>32</v>
      </c>
      <c r="N15" s="23">
        <f>IF(AND(Information!$I$12="Soybeans",Information!$K$20&gt;0,Information!$E$20&gt;0),(0.4*Information!$K$12)-(2.5*Information!$E$20)-(Information!$K$20*0.3*Information!$B$12),IF(AND(Information!$I$12="Soybeans",Information!$E$20="",Information!$K$20&gt;0),(0.4*Information!$K$12)-(5)-(Information!$K$20*0.3*Information!$B$12),0))</f>
        <v>0</v>
      </c>
      <c r="O15" s="23">
        <f>IF(AND(Information!$I$13="Soybeans",Information!$K$21&gt;0,Information!$E$21&gt;0),(0.4*Information!$K$13)-(2.5*Information!$E$21)-(Information!$K$21*0.3*Information!$B$13),IF(AND(Information!$I$13="Soybeans",Information!$E$21="",Information!$K$21&gt;0),(0.4*Information!$K$13)-(5)-(Information!$K$21*0.3*Information!$B$13),0))</f>
        <v>0</v>
      </c>
      <c r="P15" s="23">
        <f>IF(AND(Information!$I$14="Soybeans",Information!$K$22&gt;0,Information!$E$22&gt;0),(0.4*Information!$K$14)-(2.5*Information!$E$22)-(Information!$K$22*0.3*Information!$B$14),IF(AND(Information!$I$14="Soybeans",Information!$E$22="",Information!$K$22&gt;0),(0.4*Information!$K$14)-(5)-(Information!$K$22*0.3*Information!$B$14),0))</f>
        <v>0</v>
      </c>
      <c r="Q15" s="23">
        <f>IF(AND(Information!$I$15="Soybeans",Information!$K$23&gt;0,Information!$E$23&gt;0),(0.4*Information!$K$15)-(2.5*Information!$E$23)-(Information!$K$23*0.3*Information!$B$15),IF(AND(Information!$I$15="Soybeans",Information!$E$23="",Information!$K$23&gt;0),(0.4*Information!$K$15)-(5)-(Information!$K$23*0.3*Information!$B$15),0))</f>
        <v>0</v>
      </c>
    </row>
    <row r="16" spans="1:17" ht="13.5" thickBot="1" x14ac:dyDescent="0.25">
      <c r="A16" s="12" t="s">
        <v>49</v>
      </c>
      <c r="B16" s="28">
        <f>IF(AND(Information!$C$12="Alfalfa",Information!$K$20&gt;0,Information!$E$20&gt;0),(6*Information!$E$12)-(2.5*Information!$E$20)-(Information!$K$20*0.3*Information!$B$12),IF(AND(Information!$C$12="Alfalfa",Information!$E$20="",Information!$K$20&gt;0),(6*Information!$E$12)-(5)-(Information!$K$20*0.3*Information!$B$12),0))</f>
        <v>0</v>
      </c>
      <c r="C16" s="28">
        <f>IF(AND(Information!$C$13="Alfalfa",Information!$K$21&gt;0,Information!$E$21&gt;0),(6*Information!$E$13)-(2.5*Information!$E$21)-(Information!$K$21*0.3*Information!$B$13),IF(AND(Information!$C$13="Alfalfa",Information!$E$21="",Information!$K$21&gt;0),(6*Information!$E$13)-(5)-(Information!$K$21*0.3*Information!$B$13),0))</f>
        <v>0</v>
      </c>
      <c r="D16" s="28">
        <f>IF(AND(Information!$C$14="Alfalfa",Information!$K$22&gt;0,Information!$E$22&gt;0),(6*Information!$E$14)-(2.5*Information!$E$22)-(Information!$K$22*0.3*Information!$B$14),IF(AND(Information!$C$14="Alfalfa",Information!$E$22="",Information!$K$22&gt;0),(6*Information!$E$14)-(5)-(Information!$K$22*0.3*Information!$B$14),0))</f>
        <v>0</v>
      </c>
      <c r="E16" s="28">
        <f>IF(AND(Information!$C$15="Alfalfa",Information!$K$23&gt;0,Information!$E$23&gt;0),(6*Information!$E$15)-(2.5*Information!$E$23)-(Information!$K$23*0.3*Information!$B$15),IF(AND(Information!$C$15="Alfalfa",Information!$E$23="",Information!$K$23&gt;0),(6*Information!$E$15)-(5)-(Information!$K$23*0.3*Information!$B$15),0))</f>
        <v>0</v>
      </c>
      <c r="G16" s="12" t="s">
        <v>49</v>
      </c>
      <c r="H16" s="28">
        <f>IF(AND(Information!$F$12="Alfalfa",Information!$K$20&gt;0,Information!$E$20&gt;0),(6*Information!$H$12)-(2.5*Information!$E$20)-(Information!$K$20*0.3*Information!$B$12),IF(AND(Information!$F$12="Alfalfa",Information!$E$20="",Information!$K$20&gt;0),(6*Information!$H$12)-(5)-(Information!$K$20*0.3*Information!$B$12),0))</f>
        <v>0</v>
      </c>
      <c r="I16" s="28">
        <f>IF(AND(Information!$F$13="Alfalfa",Information!$K$21&gt;0,Information!$E$21&gt;0),(6*Information!$H$13)-(2.5*Information!$E$21)-(Information!$K$21*0.3*Information!$B$13),IF(AND(Information!$F$13="Alfalfa",Information!$E$21="",Information!$K$21&gt;0),(6*Information!$H$13)-(5)-(Information!$K$21*0.3*Information!$B$13),0))</f>
        <v>0</v>
      </c>
      <c r="J16" s="28">
        <f>IF(AND(Information!$F$14="Alfalfa",Information!$K$22&gt;0,Information!$E$22&gt;0),(6*Information!$H$14)-(2.5*Information!$E$22)-(Information!$K$22*0.3*Information!$B$14),IF(AND(Information!$F$14="Alfalfa",Information!$E$22="",Information!$K$22&gt;0),(6*Information!$H$14)-(5)-(Information!$K$22*0.3*Information!$B$14),0))</f>
        <v>0</v>
      </c>
      <c r="K16" s="28">
        <f>IF(AND(Information!$F$15="Alfalfa",Information!$K$23&gt;0,Information!$E$23&gt;0),(6*Information!$H$15)-(2.5*Information!$E$23)-(Information!$K$23*0.3*Information!$B$15),IF(AND(Information!$F$15="Alfalfa",Information!$E$23="",Information!$K$23&gt;0),(6*Information!$H$15)-(5)-(Information!$K$23*0.3*Information!$B$15),0))</f>
        <v>0</v>
      </c>
      <c r="M16" s="12" t="s">
        <v>49</v>
      </c>
      <c r="N16" s="28">
        <f>IF(AND(Information!$I$12="Alfalfa",Information!$K$20&gt;0,Information!$E$20&gt;0),(6*Information!$K$12)-(2.5*Information!$E$20)-(Information!$K$20*0.3*Information!$B$12),IF(AND(Information!$I$12="Alfalfa",Information!$E$20="",Information!$K$20&gt;0),(6*Information!$K$12)-(5)-(Information!$K$20*0.3*Information!$B$12),0))</f>
        <v>0</v>
      </c>
      <c r="O16" s="28">
        <f>IF(AND(Information!$I$13="Alfalfa",Information!$K$21&gt;0,Information!$E$21&gt;0),(6*Information!$K$13)-(2.5*Information!$E$21)-(Information!$K$21*0.3*Information!$B$13),IF(AND(Information!$I$13="Alfalfa",Information!$E$21="",Information!$K$21&gt;0),(6*Information!$K$13)-(5)-(Information!$K$21*0.3*Information!$B$13),0))</f>
        <v>0</v>
      </c>
      <c r="P16" s="28">
        <f>IF(AND(Information!$I$14="Alfalfa",Information!$K$22&gt;0,Information!$E$22&gt;0),(6*Information!$K$14)-(2.5*Information!$E$22)-(Information!$K$22*0.3*Information!$B$14),IF(AND(Information!$I$14="Alfalfa",Information!$E$22="",Information!$K$22&gt;0),(6*Information!$K$14)-(5)-(Information!$K$22*0.3*Information!$B$14),0))</f>
        <v>0</v>
      </c>
      <c r="Q16" s="28">
        <f>IF(AND(Information!$I$15="Alfalfa",Information!$K$23&gt;0,Information!$E$23&gt;0),(6*Information!$K$15)-(2.5*Information!$E$23)-(Information!$K$23*0.3*Information!$B$15),IF(AND(Information!$I$15="Alfalfa",Information!$E$23="",Information!$K$23&gt;0),(6*Information!$K$15)-(5)-(Information!$K$23*0.3*Information!$B$15),0))</f>
        <v>0</v>
      </c>
    </row>
    <row r="17" spans="1:17" ht="13.5" thickTop="1" x14ac:dyDescent="0.2">
      <c r="A17" s="32"/>
      <c r="B17" s="31">
        <f>ROUND(IF(SUM(B4:B16)&lt;0,0,SUM(B4:B16)),0)</f>
        <v>0</v>
      </c>
      <c r="C17" s="31">
        <f>ROUND(IF(SUM(C4:C16)&lt;0,0,SUM(C4:C16)),0)</f>
        <v>0</v>
      </c>
      <c r="D17" s="31">
        <f>ROUND(IF(SUM(D4:D16)&lt;0,0,SUM(D4:D16)),0)</f>
        <v>0</v>
      </c>
      <c r="E17" s="31">
        <f>ROUND(IF(SUM(E4:E16)&lt;0,0,SUM(E4:E16)),0)</f>
        <v>0</v>
      </c>
      <c r="G17" s="32"/>
      <c r="H17" s="31">
        <f>ROUND(IF(SUM(H4:H16)&lt;0,0,SUM(H4:H16)),0)</f>
        <v>0</v>
      </c>
      <c r="I17" s="31">
        <f>ROUND(IF(SUM(I4:I16)&lt;0,0,SUM(I4:I16)),0)</f>
        <v>0</v>
      </c>
      <c r="J17" s="31">
        <f>ROUND(IF(SUM(J4:J16)&lt;0,0,SUM(J4:J16)),0)</f>
        <v>0</v>
      </c>
      <c r="K17" s="31">
        <f>ROUND(IF(SUM(K4:K16)&lt;0,0,SUM(K4:K16)),0)</f>
        <v>0</v>
      </c>
      <c r="M17" s="32"/>
      <c r="N17" s="31">
        <f>ROUND(IF(SUM(N4:N16)&lt;0,0,SUM(N4:N16)),0)</f>
        <v>0</v>
      </c>
      <c r="O17" s="31">
        <f>ROUND(IF(SUM(O4:O16)&lt;0,0,SUM(O4:O16)),0)</f>
        <v>0</v>
      </c>
      <c r="P17" s="31">
        <f>ROUND(IF(SUM(P4:P16)&lt;0,0,SUM(P4:P16)),0)</f>
        <v>0</v>
      </c>
      <c r="Q17" s="31">
        <f>ROUND(IF(SUM(Q4:Q16)&lt;0,0,SUM(Q4:Q16)),0)</f>
        <v>0</v>
      </c>
    </row>
  </sheetData>
  <mergeCells count="3">
    <mergeCell ref="A1:E1"/>
    <mergeCell ref="G1:K1"/>
    <mergeCell ref="M1:Q1"/>
  </mergeCells>
  <phoneticPr fontId="4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/>
  <dimension ref="A1:Q7"/>
  <sheetViews>
    <sheetView workbookViewId="0">
      <selection activeCell="C5" sqref="C5"/>
    </sheetView>
  </sheetViews>
  <sheetFormatPr defaultRowHeight="12.75" x14ac:dyDescent="0.2"/>
  <cols>
    <col min="1" max="1" width="28.28515625" customWidth="1"/>
    <col min="2" max="5" width="14.28515625" customWidth="1"/>
    <col min="7" max="7" width="28.28515625" customWidth="1"/>
    <col min="8" max="11" width="14.28515625" customWidth="1"/>
    <col min="13" max="13" width="28.28515625" customWidth="1"/>
    <col min="14" max="17" width="14.28515625" customWidth="1"/>
  </cols>
  <sheetData>
    <row r="1" spans="1:17" ht="18.75" thickBot="1" x14ac:dyDescent="0.3">
      <c r="A1" s="244" t="s">
        <v>60</v>
      </c>
      <c r="B1" s="244"/>
      <c r="C1" s="244"/>
      <c r="D1" s="244"/>
      <c r="E1" s="244"/>
      <c r="G1" s="244" t="s">
        <v>69</v>
      </c>
      <c r="H1" s="244"/>
      <c r="I1" s="244"/>
      <c r="J1" s="244"/>
      <c r="K1" s="244"/>
      <c r="M1" s="244" t="s">
        <v>70</v>
      </c>
      <c r="N1" s="244"/>
      <c r="O1" s="244"/>
      <c r="P1" s="244"/>
      <c r="Q1" s="244"/>
    </row>
    <row r="2" spans="1:17" ht="14.25" thickTop="1" thickBot="1" x14ac:dyDescent="0.25">
      <c r="A2" s="8" t="s">
        <v>74</v>
      </c>
      <c r="B2" s="9" t="s">
        <v>64</v>
      </c>
      <c r="C2" s="9" t="s">
        <v>65</v>
      </c>
      <c r="D2" s="9" t="s">
        <v>66</v>
      </c>
      <c r="E2" s="9" t="s">
        <v>67</v>
      </c>
      <c r="G2" s="8" t="s">
        <v>74</v>
      </c>
      <c r="H2" s="9" t="s">
        <v>64</v>
      </c>
      <c r="I2" s="9" t="s">
        <v>65</v>
      </c>
      <c r="J2" s="9" t="s">
        <v>66</v>
      </c>
      <c r="K2" s="9" t="s">
        <v>67</v>
      </c>
      <c r="M2" s="8" t="s">
        <v>74</v>
      </c>
      <c r="N2" s="9" t="s">
        <v>64</v>
      </c>
      <c r="O2" s="9" t="s">
        <v>65</v>
      </c>
      <c r="P2" s="9" t="s">
        <v>66</v>
      </c>
      <c r="Q2" s="9" t="s">
        <v>67</v>
      </c>
    </row>
    <row r="3" spans="1:17" x14ac:dyDescent="0.2">
      <c r="B3" s="33"/>
      <c r="C3" s="33"/>
      <c r="D3" s="33"/>
      <c r="E3" s="33"/>
      <c r="H3" s="33"/>
      <c r="I3" s="33"/>
      <c r="J3" s="33"/>
      <c r="K3" s="33"/>
      <c r="N3" s="33"/>
      <c r="O3" s="33"/>
      <c r="P3" s="33"/>
      <c r="Q3" s="33"/>
    </row>
    <row r="4" spans="1:17" x14ac:dyDescent="0.2">
      <c r="A4" s="5" t="s">
        <v>30</v>
      </c>
      <c r="B4" s="34">
        <f>IF(AND(Information!$C$12="Corn",Information!$L$20&gt;0,Information!$L$20&lt;4),20,IF(AND(Information!$C$12="Corn",Information!$L$20&gt;0,Information!$L$20&lt;=6),10,IF(AND(Information!$C$12="Corn",Information!$L$20&gt;0,Information!$L$20&gt;6),0,0)))</f>
        <v>0</v>
      </c>
      <c r="C4" s="34">
        <f>IF(AND(Information!$C$13="Corn",Information!$L$21&gt;0,Information!$L$21&lt;4),20,IF(AND(Information!$C$13="Corn",Information!$L$21&gt;0,Information!$L$21&lt;=6),10,IF(AND(Information!$C$13="Corn",Information!$L$21&gt;0,Information!$L$21&gt;6),0,0)))</f>
        <v>0</v>
      </c>
      <c r="D4" s="34">
        <f>IF(AND(Information!$C$14="Corn",Information!$L$22&gt;0,Information!$L$22&lt;4),20,IF(AND(Information!$C$14="Corn",Information!$L$22&gt;0,Information!$L$22&lt;=6),10,IF(AND(Information!$C$14="Corn",Information!$L$22&gt;0,Information!$L$22&gt;6),0,0)))</f>
        <v>0</v>
      </c>
      <c r="E4" s="34">
        <f>IF(AND(Information!$C$15="Corn",Information!$L$23&gt;0,Information!$L$23&lt;4),20,IF(AND(Information!$C$15="Corn",Information!$L$23&gt;0,Information!$L$23&lt;=6),10,IF(AND(Information!$C$15="Corn",Information!$L$23&gt;0,Information!$L$23&gt;6),0,0)))</f>
        <v>0</v>
      </c>
      <c r="G4" s="5" t="s">
        <v>30</v>
      </c>
      <c r="H4" s="34">
        <f>IF(AND(Information!$F$12="Corn",Information!$L$20&gt;0,Information!$L$20&lt;4),20,IF(AND(Information!$F$12="Corn",Information!$L$20&gt;0,Information!$L$20&lt;=6),10,IF(AND(Information!$F$12="Corn",Information!$L$20&gt;0,Information!$L$20&gt;6),0,0)))</f>
        <v>0</v>
      </c>
      <c r="I4" s="34">
        <f>IF(AND(Information!$F$13="Corn",Information!$L$21&gt;0,Information!$L$21&lt;4),20,IF(AND(Information!$F$13="Corn",Information!$L$21&gt;0,Information!$L$21&lt;=6),10,IF(AND(Information!$F$13="Corn",Information!$L$21&gt;0,Information!$L$21&gt;6),0,0)))</f>
        <v>0</v>
      </c>
      <c r="J4" s="34">
        <f>IF(AND(Information!$F$14="Corn",Information!$L$22&gt;0,Information!$L$22&lt;4),20,IF(AND(Information!$F$14="Corn",Information!$L$22&gt;0,Information!$L$22&lt;=6),10,IF(AND(Information!$F$14="Corn",Information!$L$22&gt;0,Information!$L$22&gt;6),0,0)))</f>
        <v>0</v>
      </c>
      <c r="K4" s="34">
        <f>IF(AND(Information!$F$15="Corn",Information!$L$23&gt;0,Information!$L$23&lt;4),20,IF(AND(Information!$F$15="Corn",Information!$L$23&gt;0,Information!$L$23&lt;=6),10,IF(AND(Information!$F$15="Corn",Information!$L$23&gt;0,Information!$L$23&gt;6),0,0)))</f>
        <v>0</v>
      </c>
      <c r="M4" s="5" t="s">
        <v>30</v>
      </c>
      <c r="N4" s="34">
        <f>IF(AND(Information!$I$12="Corn",Information!$L$20&gt;0,Information!$L$20&lt;4),20,IF(AND(Information!$I$12="Corn",Information!$L$20&gt;0,Information!$L$20&lt;=6),10,IF(AND(Information!$I$12="Corn",Information!$L$20&gt;0,Information!$L$20&gt;6),0,0)))</f>
        <v>0</v>
      </c>
      <c r="O4" s="34">
        <f>IF(AND(Information!$I$13="Corn",Information!$L$21&gt;0,Information!$L$21&lt;4),20,IF(AND(Information!$I$13="Corn",Information!$L$21&gt;0,Information!$L$21&lt;=6),10,IF(AND(Information!$I$13="Corn",Information!$L$21&gt;0,Information!$L$21&gt;6),0,0)))</f>
        <v>0</v>
      </c>
      <c r="P4" s="34">
        <f>IF(AND(Information!$I$14="Corn",Information!$L$22&gt;0,Information!$L$22&lt;4),20,IF(AND(Information!$I$14="Corn",Information!$L$22&gt;0,Information!$L$22&lt;=6),10,IF(AND(Information!$I$14="Corn",Information!$L$22&gt;0,Information!$L$22&gt;6),0,0)))</f>
        <v>0</v>
      </c>
      <c r="Q4" s="34">
        <f>IF(AND(Information!$I$15="Corn",Information!$L$23&gt;0,Information!$L$23&lt;4),20,IF(AND(Information!$I$15="Corn",Information!$L$23&gt;0,Information!$L$23&lt;=6),10,IF(AND(Information!$I$15="Corn",Information!$L$23&gt;0,Information!$L$23&gt;6),0,0)))</f>
        <v>0</v>
      </c>
    </row>
    <row r="5" spans="1:17" x14ac:dyDescent="0.2">
      <c r="A5" s="5" t="s">
        <v>38</v>
      </c>
      <c r="B5" s="34">
        <f>IF(AND(Information!$C$12="Wheat",Information!$L$20&gt;0,Information!$L$20&lt;4),20,IF(AND(Information!$C$12="Wheat",Information!$L$20&gt;0,Information!$L$20&lt;=6),10,IF(AND(Information!$C$12="Wheat",Information!$L$20&gt;0,Information!$L$20&gt;6),0,0)))</f>
        <v>0</v>
      </c>
      <c r="C5" s="34">
        <f>IF(AND(Information!$C$13="Wheat",Information!$L$21&gt;0,Information!$L$21&lt;4),20,IF(AND(Information!$C$13="Wheat",Information!$L$21&gt;0,Information!$L$21&lt;=6),10,IF(AND(Information!$C$13="Wheat",Information!$L$21&gt;0,Information!$L$21&gt;6),0,0)))</f>
        <v>0</v>
      </c>
      <c r="D5" s="34">
        <f>IF(AND(Information!$C$14="Wheat",Information!$L$22&gt;0,Information!$L$22&lt;4),20,IF(AND(Information!$C$14="Wheat",Information!$L$22&gt;0,Information!$L$22&lt;=6),10,IF(AND(Information!$C$14="Wheat",Information!$L$22&gt;0,Information!$L$22&gt;6),0,0)))</f>
        <v>0</v>
      </c>
      <c r="E5" s="34">
        <f>IF(AND(Information!$C$15="Wheat",Information!$L$23&gt;0,Information!$L$23&lt;4),20,IF(AND(Information!$C$15="Wheat",Information!$L$23&gt;0,Information!$L$23&lt;=6),10,IF(AND(Information!$C$15="Wheat",Information!$L$23&gt;0,Information!$L$23&gt;6),0,0)))</f>
        <v>0</v>
      </c>
      <c r="G5" s="5" t="s">
        <v>38</v>
      </c>
      <c r="H5" s="34">
        <f>IF(AND(Information!$F$12="Wheat",Information!$L$20&gt;0,Information!$L$20&lt;4),20,IF(AND(Information!$F$12="Wheat",Information!$L$20&gt;0,Information!$L$20&lt;=6),10,IF(AND(Information!$F$12="Wheat",Information!$L$20&gt;0,Information!$L$20&gt;6),0,0)))</f>
        <v>0</v>
      </c>
      <c r="I5" s="34">
        <f>IF(AND(Information!$F$13="Wheat",Information!$L$21&gt;0,Information!$L$21&lt;4),20,IF(AND(Information!$F$13="Wheat",Information!$L$21&gt;0,Information!$L$21&lt;=6),10,IF(AND(Information!$F$13="Wheat",Information!$L$21&gt;0,Information!$L$21&gt;6),0,0)))</f>
        <v>0</v>
      </c>
      <c r="J5" s="34">
        <f>IF(AND(Information!$F$14="Wheat",Information!$L$22&gt;0,Information!$L$22&lt;4),20,IF(AND(Information!$F$14="Wheat",Information!$L$22&gt;0,Information!$L$22&lt;=6),10,IF(AND(Information!$F$14="Wheat",Information!$L$22&gt;0,Information!$L$22&gt;6),0,0)))</f>
        <v>0</v>
      </c>
      <c r="K5" s="34">
        <f>IF(AND(Information!$F$15="Wheat",Information!$L$23&gt;0,Information!$L$23&lt;4),20,IF(AND(Information!$F$15="Wheat",Information!$L$23&gt;0,Information!$L$23&lt;=6),10,IF(AND(Information!$F$15="Wheat",Information!$L$23&gt;0,Information!$L$23&gt;6),0,0)))</f>
        <v>0</v>
      </c>
      <c r="M5" s="5" t="s">
        <v>38</v>
      </c>
      <c r="N5" s="34">
        <f>IF(AND(Information!$I$12="Wheat",Information!$L$20&gt;0,Information!$L$20&lt;4),20,IF(AND(Information!$I$12="Wheat",Information!$L$20&gt;0,Information!$L$20&lt;=6),10,IF(AND(Information!$I$12="Wheat",Information!$L$20&gt;0,Information!$L$20&gt;6),0,0)))</f>
        <v>0</v>
      </c>
      <c r="O5" s="34">
        <f>IF(AND(Information!$I$13="Wheat",Information!$L$21&gt;0,Information!$L$21&lt;4),20,IF(AND(Information!$I$13="Wheat",Information!$L$21&gt;0,Information!$L$21&lt;=6),10,IF(AND(Information!$I$13="Wheat",Information!$L$21&gt;0,Information!$L$21&gt;6),0,0)))</f>
        <v>0</v>
      </c>
      <c r="P5" s="34">
        <f>IF(AND(Information!$I$14="Wheat",Information!$L$22&gt;0,Information!$L$22&lt;4),20,IF(AND(Information!$I$14="Wheat",Information!$L$22&gt;0,Information!$L$22&lt;=6),10,IF(AND(Information!$I$14="Wheat",Information!$L$22&gt;0,Information!$L$22&gt;6),0,0)))</f>
        <v>0</v>
      </c>
      <c r="Q5" s="34">
        <f>IF(AND(Information!$I$15="Wheat",Information!$L$23&gt;0,Information!$L$23&lt;4),20,IF(AND(Information!$I$15="Wheat",Information!$L$23&gt;0,Information!$L$23&lt;=6),10,IF(AND(Information!$I$15="Wheat",Information!$L$23&gt;0,Information!$L$23&gt;6),0,0)))</f>
        <v>0</v>
      </c>
    </row>
    <row r="6" spans="1:17" ht="13.5" thickBot="1" x14ac:dyDescent="0.25">
      <c r="A6" s="5" t="s">
        <v>39</v>
      </c>
      <c r="B6" s="28">
        <f>IF(AND(Information!$C$12="Grain Sorghum",Information!$L$20&gt;0,Information!$L$20&lt;4),20,IF(AND(Information!$C$12="Grain Sorghum",Information!$L$20&gt;0,Information!$L$20&lt;=6),10,IF(AND(Information!$C$12="Grain Sorghum",Information!$L$20&gt;0,Information!$L$20&gt;6),0,0)))</f>
        <v>0</v>
      </c>
      <c r="C6" s="28">
        <f>IF(AND(Information!$C$13="Grain Sorghum",Information!$L$21&gt;0,Information!$L$21&lt;4),20,IF(AND(Information!$C$13="Grain Sorghum",Information!$L$21&gt;0,Information!$L$21&lt;=6),10,IF(AND(Information!$C$13="Grain Sorghum",Information!$L$21&gt;0,Information!$L$21&gt;6),0,0)))</f>
        <v>0</v>
      </c>
      <c r="D6" s="28">
        <f>IF(AND(Information!$C$14="Grain Sorghum",Information!$L$22&gt;0,Information!$L$22&lt;4),20,IF(AND(Information!$C$14="Grain Sorghum",Information!$L$22&gt;0,Information!$L$22&lt;=6),10,IF(AND(Information!$C$14="Grain Sorghum",Information!$L$22&gt;0,Information!$L$22&gt;6),0,0)))</f>
        <v>0</v>
      </c>
      <c r="E6" s="28">
        <f>IF(AND(Information!$C$15="Grain Sorghum",Information!$L$23&gt;0,Information!$L$23&lt;4),20,IF(AND(Information!$C$15="Grain Sorghum",Information!$L$23&gt;0,Information!$L$23&lt;=6),10,IF(AND(Information!$C$15="Grain Sorghum",Information!$L$23&gt;0,Information!$L$23&gt;6),0,0)))</f>
        <v>0</v>
      </c>
      <c r="G6" s="5" t="s">
        <v>39</v>
      </c>
      <c r="H6" s="28">
        <f>IF(AND(Information!$F$12="Grain Sorghum",Information!$L$20&gt;0,Information!$L$20&lt;4),20,IF(AND(Information!$F$12="Grain Sorghum",Information!$L$20&gt;0,Information!$L$20&lt;=6),10,IF(AND(Information!$F$12="Grain Sorghum",Information!$L$20&gt;0,Information!$L$20&gt;6),0,0)))</f>
        <v>0</v>
      </c>
      <c r="I6" s="28">
        <f>IF(AND(Information!$F$13="Grain Sorghum",Information!$L$21&gt;0,Information!$L$21&lt;4),20,IF(AND(Information!$F$13="Grain Sorghum",Information!$L$21&gt;0,Information!$L$21&lt;=6),10,IF(AND(Information!$F$13="Grain Sorghum",Information!$L$21&gt;0,Information!$L$21&gt;6),0,0)))</f>
        <v>0</v>
      </c>
      <c r="J6" s="28">
        <f>IF(AND(Information!$F$14="Grain Sorghum",Information!$L$22&gt;0,Information!$L$22&lt;4),20,IF(AND(Information!$F$14="Grain Sorghum",Information!$L$22&gt;0,Information!$L$22&lt;=6),10,IF(AND(Information!$F$14="Grain Sorghum",Information!$L$22&gt;0,Information!$L$22&gt;6),0,0)))</f>
        <v>0</v>
      </c>
      <c r="K6" s="28">
        <f>IF(AND(Information!$F$15="Grain Sorghum",Information!$L$23&gt;0,Information!$L$23&lt;4),20,IF(AND(Information!$F$15="Grain Sorghum",Information!$L$23&gt;0,Information!$L$23&lt;=6),10,IF(AND(Information!$F$15="Grain Sorghum",Information!$L$23&gt;0,Information!$L$23&gt;6),0,0)))</f>
        <v>0</v>
      </c>
      <c r="M6" s="5" t="s">
        <v>39</v>
      </c>
      <c r="N6" s="28">
        <f>IF(AND(Information!$I$12="Grain Sorghum",Information!$L$20&gt;0,Information!$L$20&lt;4),20,IF(AND(Information!$I$12="Grain Sorghum",Information!$L$20&gt;0,Information!$L$20&lt;=6),10,IF(AND(Information!$I$12="Grain Sorghum",Information!$L$20&gt;0,Information!$L$20&gt;6),0,0)))</f>
        <v>0</v>
      </c>
      <c r="O6" s="28">
        <f>IF(AND(Information!$I$13="Grain Sorghum",Information!$L$21&gt;0,Information!$L$21&lt;4),20,IF(AND(Information!$I$13="Grain Sorghum",Information!$L$21&gt;0,Information!$L$21&lt;=6),10,IF(AND(Information!$I$13="Grain Sorghum",Information!$L$21&gt;0,Information!$L$21&gt;6),0,0)))</f>
        <v>0</v>
      </c>
      <c r="P6" s="28">
        <f>IF(AND(Information!$I$14="Grain Sorghum",Information!$L$22&gt;0,Information!$L$22&lt;4),20,IF(AND(Information!$I$14="Grain Sorghum",Information!$L$22&gt;0,Information!$L$22&lt;=6),10,IF(AND(Information!$I$14="Grain Sorghum",Information!$L$22&gt;0,Information!$L$22&gt;6),0,0)))</f>
        <v>0</v>
      </c>
      <c r="Q6" s="28">
        <f>IF(AND(Information!$I$15="Grain Sorghum",Information!$L$23&gt;0,Information!$L$23&lt;4),20,IF(AND(Information!$I$15="Grain Sorghum",Information!$L$23&gt;0,Information!$L$23&lt;=6),10,IF(AND(Information!$I$15="Grain Sorghum",Information!$L$23&gt;0,Information!$L$23&gt;6),0,0)))</f>
        <v>0</v>
      </c>
    </row>
    <row r="7" spans="1:17" ht="13.5" thickTop="1" x14ac:dyDescent="0.2">
      <c r="A7" s="32"/>
      <c r="B7" s="31">
        <f>IF(SUM(B4:B6)&lt;0,0,SUM(B4:B6))</f>
        <v>0</v>
      </c>
      <c r="C7" s="31">
        <f>IF(SUM(C4:C6)&lt;0,0,SUM(C4:C6))</f>
        <v>0</v>
      </c>
      <c r="D7" s="31">
        <f>IF(SUM(D4:D6)&lt;0,0,SUM(D4:D6))</f>
        <v>0</v>
      </c>
      <c r="E7" s="31">
        <f>IF(SUM(E4:E6)&lt;0,0,SUM(E4:E6))</f>
        <v>0</v>
      </c>
      <c r="G7" s="32"/>
      <c r="H7" s="31">
        <f>IF(SUM(H4:H6)&lt;0,0,SUM(H4:H6))</f>
        <v>0</v>
      </c>
      <c r="I7" s="31">
        <f>IF(SUM(I4:I6)&lt;0,0,SUM(I4:I6))</f>
        <v>0</v>
      </c>
      <c r="J7" s="31">
        <f>IF(SUM(J4:J6)&lt;0,0,SUM(J4:J6))</f>
        <v>0</v>
      </c>
      <c r="K7" s="31">
        <f>IF(SUM(K4:K6)&lt;0,0,SUM(K4:K6))</f>
        <v>0</v>
      </c>
      <c r="M7" s="32"/>
      <c r="N7" s="31">
        <f>IF(SUM(N4:N6)&lt;0,0,SUM(N4:N6))</f>
        <v>0</v>
      </c>
      <c r="O7" s="31">
        <f>IF(SUM(O4:O6)&lt;0,0,SUM(O4:O6))</f>
        <v>0</v>
      </c>
      <c r="P7" s="31">
        <f>IF(SUM(P4:P6)&lt;0,0,SUM(P4:P6))</f>
        <v>0</v>
      </c>
      <c r="Q7" s="31">
        <f>IF(SUM(Q4:Q6)&lt;0,0,SUM(Q4:Q6))</f>
        <v>0</v>
      </c>
    </row>
  </sheetData>
  <mergeCells count="3">
    <mergeCell ref="A1:E1"/>
    <mergeCell ref="G1:K1"/>
    <mergeCell ref="M1:Q1"/>
  </mergeCells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/>
  <dimension ref="A1:Q8"/>
  <sheetViews>
    <sheetView workbookViewId="0">
      <selection activeCell="H5" sqref="H5"/>
    </sheetView>
  </sheetViews>
  <sheetFormatPr defaultRowHeight="12.75" x14ac:dyDescent="0.2"/>
  <cols>
    <col min="1" max="1" width="28.28515625" customWidth="1"/>
    <col min="2" max="5" width="14.28515625" customWidth="1"/>
    <col min="7" max="7" width="28.28515625" customWidth="1"/>
    <col min="8" max="11" width="14.28515625" customWidth="1"/>
    <col min="13" max="13" width="28.28515625" customWidth="1"/>
    <col min="14" max="17" width="14.28515625" customWidth="1"/>
  </cols>
  <sheetData>
    <row r="1" spans="1:17" ht="18.75" thickBot="1" x14ac:dyDescent="0.3">
      <c r="A1" s="244" t="s">
        <v>60</v>
      </c>
      <c r="B1" s="244"/>
      <c r="C1" s="244"/>
      <c r="D1" s="244"/>
      <c r="E1" s="244"/>
      <c r="G1" s="244" t="s">
        <v>69</v>
      </c>
      <c r="H1" s="244"/>
      <c r="I1" s="244"/>
      <c r="J1" s="244"/>
      <c r="K1" s="244"/>
      <c r="M1" s="244" t="s">
        <v>70</v>
      </c>
      <c r="N1" s="244"/>
      <c r="O1" s="244"/>
      <c r="P1" s="244"/>
      <c r="Q1" s="244"/>
    </row>
    <row r="2" spans="1:17" ht="14.25" thickTop="1" thickBot="1" x14ac:dyDescent="0.25">
      <c r="A2" s="8" t="s">
        <v>75</v>
      </c>
      <c r="B2" s="9" t="s">
        <v>64</v>
      </c>
      <c r="C2" s="9" t="s">
        <v>65</v>
      </c>
      <c r="D2" s="9" t="s">
        <v>66</v>
      </c>
      <c r="E2" s="9" t="s">
        <v>67</v>
      </c>
      <c r="G2" s="8" t="s">
        <v>75</v>
      </c>
      <c r="H2" s="9" t="s">
        <v>64</v>
      </c>
      <c r="I2" s="9" t="s">
        <v>65</v>
      </c>
      <c r="J2" s="9" t="s">
        <v>66</v>
      </c>
      <c r="K2" s="9" t="s">
        <v>67</v>
      </c>
      <c r="M2" s="8" t="s">
        <v>75</v>
      </c>
      <c r="N2" s="9" t="s">
        <v>64</v>
      </c>
      <c r="O2" s="9" t="s">
        <v>65</v>
      </c>
      <c r="P2" s="9" t="s">
        <v>66</v>
      </c>
      <c r="Q2" s="9" t="s">
        <v>67</v>
      </c>
    </row>
    <row r="3" spans="1:17" x14ac:dyDescent="0.2">
      <c r="B3" s="33"/>
      <c r="C3" s="33"/>
      <c r="D3" s="33"/>
      <c r="E3" s="33"/>
      <c r="H3" s="33"/>
      <c r="I3" s="33"/>
      <c r="J3" s="33"/>
      <c r="K3" s="33"/>
      <c r="N3" s="33"/>
      <c r="O3" s="33"/>
      <c r="P3" s="33"/>
      <c r="Q3" s="33"/>
    </row>
    <row r="4" spans="1:17" x14ac:dyDescent="0.2">
      <c r="A4" s="5" t="s">
        <v>30</v>
      </c>
      <c r="B4" s="34">
        <f>IF(AND(Information!$C$12="Corn",Information!$M$20&gt;0,Information!$M$20&lt;0.6),2,IF(AND(Information!$C$12="Corn",Information!$M$20&gt;0,Information!$M$20&lt;1.1),1,IF(AND(Information!$C$12="Corn",Information!$M$20&gt;0,Information!$M$20&gt;1),0,0)))</f>
        <v>0</v>
      </c>
      <c r="C4" s="34">
        <f>IF(AND(Information!$C$13="Corn",Information!$M$21&gt;0,Information!$M$21&lt;0.6),2,IF(AND(Information!$C$13="Corn",Information!$M$21&gt;0,Information!$M$21&lt;1.1),1,IF(AND(Information!$C$13="Corn",Information!$M$21&gt;0,Information!$M$21&gt;1),0,0)))</f>
        <v>0</v>
      </c>
      <c r="D4" s="34">
        <f>IF(AND(Information!$C$14="Corn",Information!$M$22&gt;0,Information!$M$22&lt;0.6),2,IF(AND(Information!$C$14="Corn",Information!$M$22&gt;0,Information!$M$22&lt;1.1),1,IF(AND(Information!$C$14="Corn",Information!$M$22&gt;0,Information!$M$22&gt;1),0,0)))</f>
        <v>0</v>
      </c>
      <c r="E4" s="34">
        <f>IF(AND(Information!$C$15="Corn",Information!$M$23&gt;0,Information!$M$23&lt;0.6),2,IF(AND(Information!$C$15="Corn",Information!$M$23&gt;0,Information!$M$23&lt;1.1),1,IF(AND(Information!$C$15="Corn",Information!$M$23&gt;0,Information!$M$23&gt;1),0,0)))</f>
        <v>0</v>
      </c>
      <c r="G4" s="5" t="s">
        <v>30</v>
      </c>
      <c r="H4" s="34">
        <f>IF(AND(Information!$F$12="Corn",Information!$M$20&gt;0,Information!$M$20&lt;0.6),2,IF(AND(Information!$F$12="Corn",Information!$M$20&gt;0,Information!$M$20&lt;1.1),1,IF(AND(Information!$F$12="Corn",Information!$M$20&gt;0,Information!$M$20&gt;1),0,0)))</f>
        <v>0</v>
      </c>
      <c r="I4" s="34">
        <f>IF(AND(Information!$F$13="Corn",Information!$M$21&gt;0,Information!$M$21&lt;0.6),2,IF(AND(Information!$F$13="Corn",Information!$M$21&gt;0,Information!$M$21&lt;1.1),1,IF(AND(Information!$F$13="Corn",Information!$M$21&gt;0,Information!$M$21&gt;1),0,0)))</f>
        <v>0</v>
      </c>
      <c r="J4" s="34">
        <f>IF(AND(Information!$F$14="Corn",Information!$M$22&gt;0,Information!$M$22&lt;0.6),2,IF(AND(Information!$F$14="Corn",Information!$M$22&gt;0,Information!$M$22&lt;1.1),1,IF(AND(Information!$F$14="Corn",Information!$M$22&gt;0,Information!$M$22&gt;1),0,0)))</f>
        <v>0</v>
      </c>
      <c r="K4" s="34">
        <f>IF(AND(Information!$F$15="Corn",Information!$M$23&gt;0,Information!$M$23&lt;0.6),2,IF(AND(Information!$F$15="Corn",Information!$M$23&gt;0,Information!$M$23&lt;1.1),1,IF(AND(Information!$F$15="Corn",Information!$M$23&gt;0,Information!$M$23&gt;1),0,0)))</f>
        <v>0</v>
      </c>
      <c r="M4" s="5" t="s">
        <v>30</v>
      </c>
      <c r="N4" s="34">
        <f>IF(AND(Information!$I$12="Corn",Information!$M$20&gt;0,Information!$M$20&lt;0.6),2,IF(AND(Information!$I$12="Corn",Information!$M$20&gt;0,Information!$M$20&lt;1.1),1,IF(AND(Information!$I$12="Corn",Information!$M$20&gt;0,Information!$M$20&gt;1),0,0)))</f>
        <v>0</v>
      </c>
      <c r="O4" s="34">
        <f>IF(AND(Information!$I$13="Corn",Information!$M$21&gt;0,Information!$M$21&lt;0.6),2,IF(AND(Information!$I$13="Corn",Information!$M$21&gt;0,Information!$M$21&lt;1.1),1,IF(AND(Information!$I$13="Corn",Information!$M$21&gt;0,Information!$M$21&gt;1),0,0)))</f>
        <v>0</v>
      </c>
      <c r="P4" s="34">
        <f>IF(AND(Information!$I$14="Corn",Information!$M$22&gt;0,Information!$M$22&lt;0.6),2,IF(AND(Information!$I$14="Corn",Information!$M$22&gt;0,Information!$M$22&lt;1.1),1,IF(AND(Information!$I$14="Corn",Information!$M$22&gt;0,Information!$M$22&gt;1),0,0)))</f>
        <v>0</v>
      </c>
      <c r="Q4" s="34">
        <f>IF(AND(Information!$I$15="Corn",Information!$M$23&gt;0,Information!$M$23&lt;0.6),2,IF(AND(Information!$I$15="Corn",Information!$M$23&gt;0,Information!$M$23&lt;1.1),1,IF(AND(Information!$I$15="Corn",Information!$M$23&gt;0,Information!$M$23&gt;1),0,0)))</f>
        <v>0</v>
      </c>
    </row>
    <row r="5" spans="1:17" x14ac:dyDescent="0.2">
      <c r="A5" s="5" t="s">
        <v>76</v>
      </c>
      <c r="B5" s="34">
        <f>IF(AND(Information!$C$12="Grain Sorghum",Information!$M$20&gt;0,Information!$M$20&lt;0.6),2,IF(AND(Information!$C$12="Grain Sorghum",Information!$M$20&gt;0,Information!$M$20&lt;1.1),1,IF(AND(Information!$C$12="Grain Sorghum",Information!$M$20&gt;0,Information!$M$20&gt;1),0,0)))</f>
        <v>0</v>
      </c>
      <c r="C5" s="34">
        <f>IF(AND(Information!$C$13="Grain Sorghum",Information!$M$21&gt;0,Information!$M$21&lt;0.6),2,IF(AND(Information!$C$13="Grain Sorghum",Information!$M$21&gt;0,Information!$M$21&lt;1.1),1,IF(AND(Information!$C$13="Grain Sorghum",Information!$M$21&gt;0,Information!$M$21&gt;1),0,0)))</f>
        <v>0</v>
      </c>
      <c r="D5" s="34">
        <f>IF(AND(Information!$C$14="Grain Sorghum",Information!$M$22&gt;0,Information!$M$22&lt;0.6),2,IF(AND(Information!$C$14="Grain Sorghum",Information!$M$22&gt;0,Information!$M$22&lt;1.1),1,IF(AND(Information!$C$14="Grain Sorghum",Information!$M$22&gt;0,Information!$M$22&gt;1),0,0)))</f>
        <v>0</v>
      </c>
      <c r="E5" s="34">
        <f>IF(AND(Information!$C$15="Grain Sorghum",Information!$M$23&gt;0,Information!$M$23&lt;0.6),2,IF(AND(Information!$C$15="Grain Sorghum",Information!$M$23&gt;0,Information!$M$23&lt;1.1),1,IF(AND(Information!$C$15="Grain Sorghum",Information!$M$23&gt;0,Information!$M$23&gt;1),0,0)))</f>
        <v>0</v>
      </c>
      <c r="G5" s="5" t="s">
        <v>76</v>
      </c>
      <c r="H5" s="34">
        <f>IF(AND(Information!$F$12="Grain Sorghum",Information!$M$20&gt;0,Information!$M$20&lt;0.6),2,IF(AND(Information!$F$12="Grain Sorghum",Information!$M$20&gt;0,Information!$M$20&lt;1.1),1,IF(AND(Information!$F$12="Grain Sorghum",Information!$M$20&gt;0,Information!$M$20&gt;1),0,0)))</f>
        <v>0</v>
      </c>
      <c r="I5" s="34">
        <f>IF(AND(Information!$F$13="Grain Sorghum",Information!$M$21&gt;0,Information!$M$21&lt;0.6),2,IF(AND(Information!$F$13="Grain Sorghum",Information!$M$21&gt;0,Information!$M$21&lt;1.1),1,IF(AND(Information!$F$13="Grain Sorghum",Information!$M$21&gt;0,Information!$M$21&gt;1),0,0)))</f>
        <v>0</v>
      </c>
      <c r="J5" s="34">
        <f>IF(AND(Information!$F$14="Grain Sorghum",Information!$M$22&gt;0,Information!$M$22&lt;0.6),2,IF(AND(Information!$F$14="Grain Sorghum",Information!$M$22&gt;0,Information!$M$22&lt;1.1),1,IF(AND(Information!$F$14="Grain Sorghum",Information!$M$22&gt;0,Information!$M$22&gt;1),0,0)))</f>
        <v>0</v>
      </c>
      <c r="K5" s="34">
        <f>IF(AND(Information!$F$15="Grain Sorghum",Information!$M$23&gt;0,Information!$M$23&lt;0.6),2,IF(AND(Information!$F$15="Grain Sorghum",Information!$M$23&gt;0,Information!$M$23&lt;1.1),1,IF(AND(Information!$F$15="Grain Sorghum",Information!$M$23&gt;0,Information!$M$23&gt;1),0,0)))</f>
        <v>0</v>
      </c>
      <c r="M5" s="5" t="s">
        <v>76</v>
      </c>
      <c r="N5" s="34">
        <f>IF(AND(Information!$I$12="Grain Sorghum",Information!$M$20&gt;0,Information!$M$20&lt;0.6),2,IF(AND(Information!$I$12="Grain Sorghum",Information!$M$20&gt;0,Information!$M$20&lt;1.1),1,IF(AND(Information!$I$12="Grain Sorghum",Information!$M$20&gt;0,Information!$M$20&gt;1),0,0)))</f>
        <v>0</v>
      </c>
      <c r="O5" s="34">
        <f>IF(AND(Information!$I$13="Grain Sorghum",Information!$M$21&gt;0,Information!$M$21&lt;0.6),2,IF(AND(Information!$I$13="Grain Sorghum",Information!$M$21&gt;0,Information!$M$21&lt;1.1),1,IF(AND(Information!$I$13="Grain Sorghum",Information!$M$21&gt;0,Information!$M$21&gt;1),0,0)))</f>
        <v>0</v>
      </c>
      <c r="P5" s="34">
        <f>IF(AND(Information!$I$14="Grain Sorghum",Information!$M$22&gt;0,Information!$M$22&lt;0.6),2,IF(AND(Information!$I$14="Grain Sorghum",Information!$M$22&gt;0,Information!$M$22&lt;1.1),1,IF(AND(Information!$I$14="Grain Sorghum",Information!$M$22&gt;0,Information!$M$22&gt;1),0,0)))</f>
        <v>0</v>
      </c>
      <c r="Q5" s="34">
        <f>IF(AND(Information!$I$15="Grain Sorghum",Information!$M$23&gt;0,Information!$M$23&lt;0.6),2,IF(AND(Information!$I$15="Grain Sorghum",Information!$M$23&gt;0,Information!$M$23&lt;1.1),1,IF(AND(Information!$I$15="Grain Sorghum",Information!$M$23&gt;0,Information!$M$23&gt;1),0,0)))</f>
        <v>0</v>
      </c>
    </row>
    <row r="6" spans="1:17" x14ac:dyDescent="0.2">
      <c r="A6" s="5" t="s">
        <v>32</v>
      </c>
      <c r="B6" s="34">
        <f>IF(AND(Information!$C$12="Soybeans",Information!$M$20&gt;0,Information!$M$20&lt;0.6),2,IF(AND(Information!$C$12="Soybeans",Information!$M$20&gt;0,Information!$M$20&lt;1.1),1,IF(AND(Information!$C$12="Soybeans",Information!$M$20&gt;0,Information!$M$20&gt;1),0,0)))</f>
        <v>0</v>
      </c>
      <c r="C6" s="34">
        <f>IF(AND(Information!$C$13="Soybeans",Information!$M$21&gt;0,Information!$M$21&lt;0.6),2,IF(AND(Information!$C$13="Soybeans",Information!$M$21&gt;0,Information!$M$21&lt;1.1),1,IF(AND(Information!$C$13="Soybeans",Information!$M$21&gt;0,Information!$M$21&gt;1),0,0)))</f>
        <v>0</v>
      </c>
      <c r="D6" s="34">
        <f>IF(AND(Information!$C$14="Soybeans",Information!$M$22&gt;0,Information!$M$22&lt;0.6),2,IF(AND(Information!$C$14="Soybeans",Information!$M$22&gt;0,Information!$M$22&lt;1.1),1,IF(AND(Information!$C$14="Soybeans",Information!$M$22&gt;0,Information!$M$22&gt;1),0,0)))</f>
        <v>0</v>
      </c>
      <c r="E6" s="34">
        <f>IF(AND(Information!$C$15="Soybeans",Information!$M$23&gt;0,Information!$M$23&lt;0.6),2,IF(AND(Information!$C$15="Soybeans",Information!$M$23&gt;0,Information!$M$23&lt;1.1),1,IF(AND(Information!$C$15="Soybeans",Information!$M$23&gt;0,Information!$M$23&gt;1),0,0)))</f>
        <v>0</v>
      </c>
      <c r="G6" s="5" t="s">
        <v>32</v>
      </c>
      <c r="H6" s="34">
        <f>IF(AND(Information!$F$12="Soybeans",Information!$M$20&gt;0,Information!$M$20&lt;0.6),2,IF(AND(Information!$F$12="Soybeans",Information!$M$20&gt;0,Information!$M$20&lt;1.1),1,IF(AND(Information!$F$12="Soybeans",Information!$M$20&gt;0,Information!$M$20&gt;1),0,0)))</f>
        <v>0</v>
      </c>
      <c r="I6" s="34">
        <f>IF(AND(Information!$F$13="Soybeans",Information!$M$21&gt;0,Information!$M$21&lt;0.6),2,IF(AND(Information!$F$13="Soybeans",Information!$M$21&gt;0,Information!$M$21&lt;1.1),1,IF(AND(Information!$F$13="Soybeans",Information!$M$21&gt;0,Information!$M$21&gt;1),0,0)))</f>
        <v>0</v>
      </c>
      <c r="J6" s="34">
        <f>IF(AND(Information!$F$14="Soybeans",Information!$M$22&gt;0,Information!$M$22&lt;0.6),2,IF(AND(Information!$F$14="Soybeans",Information!$M$22&gt;0,Information!$M$22&lt;1.1),1,IF(AND(Information!$F$14="Soybeans",Information!$M$22&gt;0,Information!$M$22&gt;1),0,0)))</f>
        <v>0</v>
      </c>
      <c r="K6" s="34">
        <f>IF(AND(Information!$F$15="Soybeans",Information!$M$23&gt;0,Information!$M$23&lt;0.6),2,IF(AND(Information!$F$15="Soybeans",Information!$M$23&gt;0,Information!$M$23&lt;1.1),1,IF(AND(Information!$F$15="Soybeans",Information!$M$23&gt;0,Information!$M$23&gt;1),0,0)))</f>
        <v>0</v>
      </c>
      <c r="M6" s="5" t="s">
        <v>32</v>
      </c>
      <c r="N6" s="34">
        <f>IF(AND(Information!$I$12="Soybeans",Information!$M$20&gt;0,Information!$M$20&lt;0.6),2,IF(AND(Information!$I$12="Soybeans",Information!$M$20&gt;0,Information!$M$20&lt;1.1),1,IF(AND(Information!$I$12="Soybeans",Information!$M$20&gt;0,Information!$M$20&gt;1),0,0)))</f>
        <v>0</v>
      </c>
      <c r="O6" s="34">
        <f>IF(AND(Information!$I$13="Soybeans",Information!$M$21&gt;0,Information!$M$21&lt;0.6),2,IF(AND(Information!$I$13="Soybeans",Information!$M$21&gt;0,Information!$M$21&lt;1.1),1,IF(AND(Information!$I$13="Soybeans",Information!$M$21&gt;0,Information!$M$21&gt;1),0,0)))</f>
        <v>0</v>
      </c>
      <c r="P6" s="34">
        <f>IF(AND(Information!$I$14="Soybeans",Information!$M$22&gt;0,Information!$M$22&lt;0.6),2,IF(AND(Information!$I$14="Soybeans",Information!$M$22&gt;0,Information!$M$22&lt;1.1),1,IF(AND(Information!$I$14="Soybeans",Information!$M$22&gt;0,Information!$M$22&gt;1),0,0)))</f>
        <v>0</v>
      </c>
      <c r="Q6" s="34">
        <f>IF(AND(Information!$I$15="Soybeans",Information!$M$23&gt;0,Information!$M$23&lt;0.6),2,IF(AND(Information!$I$15="Soybeans",Information!$M$23&gt;0,Information!$M$23&lt;1.1),1,IF(AND(Information!$I$15="Soybeans",Information!$M$23&gt;0,Information!$M$23&gt;1),0,0)))</f>
        <v>0</v>
      </c>
    </row>
    <row r="7" spans="1:17" ht="13.5" thickBot="1" x14ac:dyDescent="0.25">
      <c r="A7" s="5" t="s">
        <v>77</v>
      </c>
      <c r="B7" s="28">
        <f>IF(AND(Information!$C$12="Alfalfa",Information!$M$20&gt;0,Information!$M$20&lt;0.6),2,IF(AND(Information!$C$12="Alfalfa",Information!$M$20&gt;0,Information!$M$20&lt;1.1),1,IF(AND(Information!$C$12="Alfalfa",Information!$M$20&gt;0,Information!$M$20&gt;1),0,0)))</f>
        <v>0</v>
      </c>
      <c r="C7" s="28">
        <f>IF(AND(Information!$C$13="Alfalfa",Information!$M$21&gt;0,Information!$M$21&lt;0.6),2,IF(AND(Information!$C$13="Alfalfa",Information!$M$21&gt;0,Information!$M$21&lt;1.1),1,IF(AND(Information!$C$13="Alfalfa",Information!$M$21&gt;0,Information!$M$21&gt;1),0,0)))</f>
        <v>0</v>
      </c>
      <c r="D7" s="28">
        <f>IF(AND(Information!$C$14="Alfalfa",Information!$M$22&gt;0,Information!$M$22&lt;0.6),2,IF(AND(Information!$C$14="Alfalfa",Information!$M$22&gt;0,Information!$M$22&lt;1.1),1,IF(AND(Information!$C$14="Alfalfa",Information!$M$22&gt;0,Information!$M$22&gt;1),0,0)))</f>
        <v>0</v>
      </c>
      <c r="E7" s="28">
        <f>IF(AND(Information!$C$15="Alfalfa",Information!$M$23&gt;0,Information!$M$23&lt;0.6),2,IF(AND(Information!$C$15="Alfalfa",Information!$M$23&gt;0,Information!$M$23&lt;1.1),1,IF(AND(Information!$C$15="Alfalfa",Information!$M$23&gt;0,Information!$M$23&gt;1),0,0)))</f>
        <v>0</v>
      </c>
      <c r="G7" s="5" t="s">
        <v>77</v>
      </c>
      <c r="H7" s="28">
        <f>IF(AND(Information!$F$12="Alfalfa",Information!$M$20&gt;0,Information!$M$20&lt;0.6),2,IF(AND(Information!$F$12="Alfalfa",Information!$M$20&gt;0,Information!$M$20&lt;1.1),1,IF(AND(Information!$F$12="Alfalfa",Information!$M$20&gt;0,Information!$M$20&gt;1),0,0)))</f>
        <v>0</v>
      </c>
      <c r="I7" s="28">
        <f>IF(AND(Information!$F$13="Alfalfa",Information!$M$21&gt;0,Information!$M$21&lt;0.6),2,IF(AND(Information!$F$13="Alfalfa",Information!$M$21&gt;0,Information!$M$21&lt;1.1),1,IF(AND(Information!$F$13="Alfalfa",Information!$M$21&gt;0,Information!$M$21&gt;1),0,0)))</f>
        <v>0</v>
      </c>
      <c r="J7" s="28">
        <f>IF(AND(Information!$F$14="Alfalfa",Information!$M$22&gt;0,Information!$M$22&lt;0.6),2,IF(AND(Information!$F$14="Alfalfa",Information!$M$22&gt;0,Information!$M$22&lt;1.1),1,IF(AND(Information!$F$14="Alfalfa",Information!$M$22&gt;0,Information!$M$22&gt;1),0,0)))</f>
        <v>0</v>
      </c>
      <c r="K7" s="28">
        <f>IF(AND(Information!$F$15="Alfalfa",Information!$M$23&gt;0,Information!$M$23&lt;0.6),2,IF(AND(Information!$F$15="Alfalfa",Information!$M$23&gt;0,Information!$M$23&lt;1.1),1,IF(AND(Information!$F$15="Alfalfa",Information!$M$23&gt;0,Information!$M$23&gt;1),0,0)))</f>
        <v>0</v>
      </c>
      <c r="M7" s="5" t="s">
        <v>77</v>
      </c>
      <c r="N7" s="28">
        <f>IF(AND(Information!$I$12="Alfalfa",Information!$M$20&gt;0,Information!$M$20&lt;0.6),2,IF(AND(Information!$I$12="Alfalfa",Information!$M$20&gt;0,Information!$M$20&lt;1.1),1,IF(AND(Information!$I$12="Alfalfa",Information!$M$20&gt;0,Information!$M$20&gt;1),0,0)))</f>
        <v>0</v>
      </c>
      <c r="O7" s="28">
        <f>IF(AND(Information!$I$13="Alfalfa",Information!$M$21&gt;0,Information!$M$21&lt;0.6),2,IF(AND(Information!$I$13="Alfalfa",Information!$M$21&gt;0,Information!$M$21&lt;1.1),1,IF(AND(Information!$I$13="Alfalfa",Information!$M$21&gt;0,Information!$M$21&gt;1),0,0)))</f>
        <v>0</v>
      </c>
      <c r="P7" s="28">
        <f>IF(AND(Information!$I$14="Alfalfa",Information!$M$22&gt;0,Information!$M$22&lt;0.6),2,IF(AND(Information!$I$14="Alfalfa",Information!$M$22&gt;0,Information!$M$22&lt;1.1),1,IF(AND(Information!$I$14="Alfalfa",Information!$M$22&gt;0,Information!$M$22&gt;1),0,0)))</f>
        <v>0</v>
      </c>
      <c r="Q7" s="28">
        <f>IF(AND(Information!$I$15="Alfalfa",Information!$M$23&gt;0,Information!$M$23&lt;0.6),2,IF(AND(Information!$I$15="Alfalfa",Information!$M$23&gt;0,Information!$M$23&lt;1.1),1,IF(AND(Information!$I$15="Alfalfa",Information!$M$23&gt;0,Information!$M$23&gt;1),0,0)))</f>
        <v>0</v>
      </c>
    </row>
    <row r="8" spans="1:17" ht="13.5" thickTop="1" x14ac:dyDescent="0.2">
      <c r="A8" s="32"/>
      <c r="B8" s="31">
        <f>IF(SUM(B4:B7)&lt;0,0,SUM(B4:B7))</f>
        <v>0</v>
      </c>
      <c r="C8" s="31">
        <f>IF(SUM(C4:C7)&lt;0,0,SUM(C4:C7))</f>
        <v>0</v>
      </c>
      <c r="D8" s="31">
        <f>IF(SUM(D4:D7)&lt;0,0,SUM(D4:D7))</f>
        <v>0</v>
      </c>
      <c r="E8" s="31">
        <f>IF(SUM(E4:E7)&lt;0,0,SUM(E4:E7))</f>
        <v>0</v>
      </c>
      <c r="G8" s="32"/>
      <c r="H8" s="31">
        <f>IF(SUM(H4:H7)&lt;0,0,SUM(H4:H7))</f>
        <v>0</v>
      </c>
      <c r="I8" s="31">
        <f>IF(SUM(I4:I7)&lt;0,0,SUM(I4:I7))</f>
        <v>0</v>
      </c>
      <c r="J8" s="31">
        <f>IF(SUM(J4:J7)&lt;0,0,SUM(J4:J7))</f>
        <v>0</v>
      </c>
      <c r="K8" s="31">
        <f>IF(SUM(K4:K7)&lt;0,0,SUM(K4:K7))</f>
        <v>0</v>
      </c>
      <c r="M8" s="32"/>
      <c r="N8" s="31">
        <f>IF(SUM(N4:N7)&lt;0,0,SUM(N4:N7))</f>
        <v>0</v>
      </c>
      <c r="O8" s="31">
        <f>IF(SUM(O4:O7)&lt;0,0,SUM(O4:O7))</f>
        <v>0</v>
      </c>
      <c r="P8" s="31">
        <f>IF(SUM(P4:P7)&lt;0,0,SUM(P4:P7))</f>
        <v>0</v>
      </c>
      <c r="Q8" s="31">
        <f>IF(SUM(Q4:Q7)&lt;0,0,SUM(Q4:Q7))</f>
        <v>0</v>
      </c>
    </row>
  </sheetData>
  <mergeCells count="3">
    <mergeCell ref="A1:E1"/>
    <mergeCell ref="G1:K1"/>
    <mergeCell ref="M1:Q1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36"/>
    <pageSetUpPr fitToPage="1"/>
  </sheetPr>
  <dimension ref="A1:O1326"/>
  <sheetViews>
    <sheetView tabSelected="1" zoomScale="90" workbookViewId="0">
      <selection activeCell="P18" sqref="P18"/>
    </sheetView>
  </sheetViews>
  <sheetFormatPr defaultRowHeight="12.75" x14ac:dyDescent="0.2"/>
  <cols>
    <col min="1" max="1" width="12.5703125" customWidth="1"/>
    <col min="2" max="2" width="12.42578125" customWidth="1"/>
    <col min="3" max="3" width="9.28515625" customWidth="1"/>
    <col min="4" max="4" width="10.28515625" customWidth="1"/>
    <col min="5" max="5" width="10.85546875" customWidth="1"/>
    <col min="6" max="6" width="12.140625" customWidth="1"/>
    <col min="7" max="8" width="9.7109375" customWidth="1"/>
    <col min="9" max="9" width="10" customWidth="1"/>
    <col min="10" max="10" width="9.28515625" customWidth="1"/>
    <col min="11" max="11" width="10.42578125" customWidth="1"/>
    <col min="12" max="12" width="9.28515625" customWidth="1"/>
    <col min="13" max="14" width="9.5703125" customWidth="1"/>
    <col min="15" max="15" width="9.42578125" customWidth="1"/>
  </cols>
  <sheetData>
    <row r="1" spans="1:15" ht="18.95" customHeight="1" thickBot="1" x14ac:dyDescent="0.3">
      <c r="A1" s="77" t="s">
        <v>0</v>
      </c>
      <c r="B1" s="1"/>
      <c r="C1" s="1"/>
      <c r="D1" s="1"/>
      <c r="E1" s="1"/>
      <c r="F1" s="1"/>
    </row>
    <row r="2" spans="1:15" ht="18.95" customHeight="1" thickTop="1" thickBot="1" x14ac:dyDescent="0.25">
      <c r="A2" s="66" t="s">
        <v>1</v>
      </c>
      <c r="B2" s="209"/>
      <c r="C2" s="210"/>
      <c r="D2" s="210"/>
      <c r="E2" s="210"/>
      <c r="F2" s="211"/>
      <c r="I2" s="78" t="s">
        <v>12</v>
      </c>
      <c r="J2" s="79">
        <f ca="1">NOW()</f>
        <v>45604.454608449072</v>
      </c>
    </row>
    <row r="3" spans="1:15" ht="13.5" customHeight="1" thickBot="1" x14ac:dyDescent="0.25">
      <c r="A3" s="67"/>
      <c r="B3" s="68"/>
      <c r="C3" s="69"/>
      <c r="D3" s="69"/>
      <c r="E3" s="69"/>
      <c r="F3" s="70"/>
      <c r="G3" s="2"/>
      <c r="J3" s="7"/>
      <c r="M3" s="3"/>
      <c r="N3" s="3"/>
      <c r="O3" s="3"/>
    </row>
    <row r="4" spans="1:15" ht="18.95" customHeight="1" thickBot="1" x14ac:dyDescent="0.25">
      <c r="A4" s="67" t="s">
        <v>2</v>
      </c>
      <c r="B4" s="212"/>
      <c r="C4" s="213"/>
      <c r="D4" s="213"/>
      <c r="E4" s="213"/>
      <c r="F4" s="214"/>
      <c r="G4" s="4"/>
    </row>
    <row r="5" spans="1:15" ht="13.5" customHeight="1" thickBot="1" x14ac:dyDescent="0.25">
      <c r="A5" s="71"/>
      <c r="B5" s="72"/>
      <c r="C5" s="72"/>
      <c r="D5" s="72"/>
      <c r="E5" s="72"/>
      <c r="F5" s="73"/>
    </row>
    <row r="6" spans="1:15" ht="18.95" customHeight="1" thickTop="1" thickBot="1" x14ac:dyDescent="0.25">
      <c r="A6" s="67" t="s">
        <v>3</v>
      </c>
      <c r="B6" s="215"/>
      <c r="C6" s="216"/>
      <c r="D6" s="216"/>
      <c r="E6" s="216"/>
      <c r="F6" s="217"/>
      <c r="G6" s="4"/>
      <c r="I6" s="206" t="s">
        <v>86</v>
      </c>
      <c r="J6" s="199"/>
      <c r="K6" s="199" t="s">
        <v>83</v>
      </c>
      <c r="L6" s="199"/>
      <c r="M6" s="200"/>
      <c r="N6" s="3"/>
      <c r="O6" s="3"/>
    </row>
    <row r="7" spans="1:15" ht="13.5" customHeight="1" thickBot="1" x14ac:dyDescent="0.25">
      <c r="A7" s="71"/>
      <c r="B7" s="72"/>
      <c r="C7" s="72"/>
      <c r="D7" s="72"/>
      <c r="E7" s="72"/>
      <c r="F7" s="134"/>
      <c r="I7" s="204" t="s">
        <v>310</v>
      </c>
      <c r="J7" s="205"/>
      <c r="K7" s="201">
        <v>6.67</v>
      </c>
      <c r="L7" s="202"/>
      <c r="M7" s="203"/>
    </row>
    <row r="8" spans="1:15" ht="18.95" customHeight="1" thickBot="1" x14ac:dyDescent="0.25">
      <c r="A8" s="74" t="s">
        <v>320</v>
      </c>
      <c r="B8" s="218" t="s">
        <v>330</v>
      </c>
      <c r="C8" s="219"/>
      <c r="D8" s="75"/>
      <c r="E8" s="146" t="s">
        <v>277</v>
      </c>
      <c r="F8" s="145" t="str">
        <f>IF(B8="","",LOOKUP(B8,'Yield Goals'!A10:A114,'Yield Goals'!B10:B114))</f>
        <v>Northeast</v>
      </c>
      <c r="G8" s="3"/>
      <c r="H8" s="3"/>
      <c r="I8" s="158" t="s">
        <v>9</v>
      </c>
      <c r="J8" s="18"/>
      <c r="K8" s="207" t="s">
        <v>300</v>
      </c>
      <c r="L8" s="207"/>
      <c r="M8" s="208"/>
      <c r="N8" s="4"/>
    </row>
    <row r="9" spans="1:15" ht="18.95" customHeight="1" thickTop="1" thickBot="1" x14ac:dyDescent="0.25">
      <c r="A9" s="173" t="s">
        <v>321</v>
      </c>
      <c r="F9" s="42"/>
      <c r="H9" s="160"/>
      <c r="I9" s="159" t="s">
        <v>10</v>
      </c>
      <c r="J9" s="147"/>
      <c r="K9" s="161"/>
      <c r="L9" s="166">
        <v>4</v>
      </c>
      <c r="M9" s="15"/>
      <c r="N9" s="4"/>
    </row>
    <row r="10" spans="1:15" ht="18.95" customHeight="1" thickTop="1" thickBot="1" x14ac:dyDescent="0.3">
      <c r="A10" s="76" t="s">
        <v>5</v>
      </c>
      <c r="B10" s="3"/>
      <c r="C10" s="3"/>
      <c r="D10" s="3"/>
      <c r="E10" s="3"/>
      <c r="F10" s="3"/>
      <c r="J10" s="174" t="s">
        <v>318</v>
      </c>
    </row>
    <row r="11" spans="1:15" ht="48.75" thickBot="1" x14ac:dyDescent="0.25">
      <c r="A11" s="35" t="s">
        <v>11</v>
      </c>
      <c r="B11" s="36" t="s">
        <v>324</v>
      </c>
      <c r="C11" s="183" t="s">
        <v>4</v>
      </c>
      <c r="D11" s="184"/>
      <c r="E11" s="36" t="s">
        <v>22</v>
      </c>
      <c r="F11" s="183" t="s">
        <v>6</v>
      </c>
      <c r="G11" s="184"/>
      <c r="H11" s="36" t="s">
        <v>22</v>
      </c>
      <c r="I11" s="183" t="s">
        <v>7</v>
      </c>
      <c r="J11" s="184"/>
      <c r="K11" s="37" t="s">
        <v>22</v>
      </c>
      <c r="L11" s="188" t="s">
        <v>8</v>
      </c>
      <c r="M11" s="189"/>
      <c r="N11" s="84"/>
    </row>
    <row r="12" spans="1:15" ht="18" customHeight="1" x14ac:dyDescent="0.2">
      <c r="A12" s="111"/>
      <c r="B12" s="107"/>
      <c r="C12" s="193"/>
      <c r="D12" s="194"/>
      <c r="E12" s="105"/>
      <c r="F12" s="193"/>
      <c r="G12" s="194"/>
      <c r="H12" s="105"/>
      <c r="I12" s="193"/>
      <c r="J12" s="194"/>
      <c r="K12" s="105"/>
      <c r="L12" s="190"/>
      <c r="M12" s="191"/>
    </row>
    <row r="13" spans="1:15" ht="18" customHeight="1" x14ac:dyDescent="0.2">
      <c r="A13" s="112"/>
      <c r="B13" s="107"/>
      <c r="C13" s="185"/>
      <c r="D13" s="185"/>
      <c r="E13" s="105"/>
      <c r="F13" s="185"/>
      <c r="G13" s="185"/>
      <c r="H13" s="105"/>
      <c r="I13" s="185"/>
      <c r="J13" s="185"/>
      <c r="K13" s="105"/>
      <c r="L13" s="185"/>
      <c r="M13" s="192"/>
    </row>
    <row r="14" spans="1:15" ht="18" customHeight="1" x14ac:dyDescent="0.2">
      <c r="A14" s="112"/>
      <c r="B14" s="107"/>
      <c r="C14" s="220"/>
      <c r="D14" s="221"/>
      <c r="E14" s="105"/>
      <c r="F14" s="185"/>
      <c r="G14" s="185"/>
      <c r="H14" s="105"/>
      <c r="I14" s="185"/>
      <c r="J14" s="185"/>
      <c r="K14" s="105"/>
      <c r="L14" s="185"/>
      <c r="M14" s="192"/>
    </row>
    <row r="15" spans="1:15" ht="18" customHeight="1" thickBot="1" x14ac:dyDescent="0.25">
      <c r="A15" s="113"/>
      <c r="B15" s="106"/>
      <c r="C15" s="225"/>
      <c r="D15" s="226"/>
      <c r="E15" s="106"/>
      <c r="F15" s="195"/>
      <c r="G15" s="196"/>
      <c r="H15" s="105"/>
      <c r="I15" s="195"/>
      <c r="J15" s="196"/>
      <c r="K15" s="106"/>
      <c r="L15" s="197"/>
      <c r="M15" s="198"/>
    </row>
    <row r="16" spans="1:15" ht="15.75" customHeight="1" x14ac:dyDescent="0.2">
      <c r="A16" s="80"/>
      <c r="B16" s="81"/>
      <c r="C16" s="81"/>
      <c r="D16" s="82"/>
      <c r="E16" s="81"/>
      <c r="F16" s="81"/>
      <c r="G16" s="83"/>
      <c r="H16" s="83"/>
      <c r="I16" s="83"/>
      <c r="J16" s="83"/>
      <c r="K16" s="83"/>
    </row>
    <row r="17" spans="1:15" ht="16.5" customHeight="1" thickBot="1" x14ac:dyDescent="0.3">
      <c r="A17" s="43" t="s">
        <v>20</v>
      </c>
      <c r="B17" s="38"/>
      <c r="C17" s="39"/>
      <c r="D17" s="39"/>
      <c r="E17" s="39"/>
      <c r="F17" s="85"/>
      <c r="G17" s="85"/>
      <c r="H17" s="85"/>
      <c r="I17" s="85"/>
      <c r="J17" s="85"/>
      <c r="K17" s="85"/>
      <c r="L17" s="85"/>
      <c r="N17" s="38"/>
      <c r="O17" s="38"/>
    </row>
    <row r="18" spans="1:15" s="59" customFormat="1" ht="23.25" customHeight="1" x14ac:dyDescent="0.2">
      <c r="A18" s="186" t="s">
        <v>13</v>
      </c>
      <c r="B18" s="222" t="s">
        <v>11</v>
      </c>
      <c r="C18" s="186" t="s">
        <v>14</v>
      </c>
      <c r="D18" s="224" t="s">
        <v>325</v>
      </c>
      <c r="E18" s="186" t="s">
        <v>31</v>
      </c>
      <c r="F18" s="186" t="s">
        <v>323</v>
      </c>
      <c r="G18" s="186" t="s">
        <v>322</v>
      </c>
      <c r="H18" s="224" t="s">
        <v>327</v>
      </c>
      <c r="I18" s="227" t="s">
        <v>15</v>
      </c>
      <c r="J18" s="228"/>
      <c r="K18" s="186" t="s">
        <v>18</v>
      </c>
      <c r="L18" s="186" t="s">
        <v>19</v>
      </c>
      <c r="M18" s="186" t="s">
        <v>78</v>
      </c>
    </row>
    <row r="19" spans="1:15" s="59" customFormat="1" ht="33.75" customHeight="1" thickBot="1" x14ac:dyDescent="0.25">
      <c r="A19" s="187"/>
      <c r="B19" s="223"/>
      <c r="C19" s="187"/>
      <c r="D19" s="187"/>
      <c r="E19" s="187"/>
      <c r="F19" s="187"/>
      <c r="G19" s="187"/>
      <c r="H19" s="187"/>
      <c r="I19" s="60" t="s">
        <v>16</v>
      </c>
      <c r="J19" s="61" t="s">
        <v>17</v>
      </c>
      <c r="K19" s="187"/>
      <c r="L19" s="187"/>
      <c r="M19" s="187"/>
    </row>
    <row r="20" spans="1:15" ht="18" customHeight="1" x14ac:dyDescent="0.2">
      <c r="A20" s="102"/>
      <c r="B20" s="45" t="str">
        <f>IF(Information!A12="","",Information!A12)</f>
        <v/>
      </c>
      <c r="C20" s="89"/>
      <c r="D20" s="90"/>
      <c r="E20" s="92"/>
      <c r="F20" s="91"/>
      <c r="G20" s="91"/>
      <c r="H20" s="91"/>
      <c r="I20" s="92"/>
      <c r="J20" s="91"/>
      <c r="K20" s="91"/>
      <c r="L20" s="93"/>
      <c r="M20" s="108"/>
    </row>
    <row r="21" spans="1:15" ht="18" customHeight="1" x14ac:dyDescent="0.2">
      <c r="A21" s="103"/>
      <c r="B21" s="45" t="str">
        <f>IF(Information!A13="","",Information!A13)</f>
        <v/>
      </c>
      <c r="C21" s="89"/>
      <c r="D21" s="90"/>
      <c r="E21" s="95"/>
      <c r="F21" s="91"/>
      <c r="G21" s="94"/>
      <c r="H21" s="94"/>
      <c r="I21" s="95"/>
      <c r="J21" s="94"/>
      <c r="K21" s="94"/>
      <c r="L21" s="96"/>
      <c r="M21" s="109"/>
    </row>
    <row r="22" spans="1:15" ht="18" customHeight="1" x14ac:dyDescent="0.2">
      <c r="A22" s="103"/>
      <c r="B22" s="45" t="str">
        <f>IF(Information!A14="","",Information!A14)</f>
        <v/>
      </c>
      <c r="C22" s="89"/>
      <c r="D22" s="90"/>
      <c r="E22" s="95"/>
      <c r="F22" s="91"/>
      <c r="G22" s="94"/>
      <c r="H22" s="94"/>
      <c r="I22" s="95"/>
      <c r="J22" s="94"/>
      <c r="K22" s="94"/>
      <c r="L22" s="96"/>
      <c r="M22" s="109"/>
    </row>
    <row r="23" spans="1:15" ht="18" customHeight="1" thickBot="1" x14ac:dyDescent="0.25">
      <c r="A23" s="104"/>
      <c r="B23" s="115" t="str">
        <f>IF(Information!A15="","",Information!A15)</f>
        <v/>
      </c>
      <c r="C23" s="97"/>
      <c r="D23" s="98"/>
      <c r="E23" s="100"/>
      <c r="F23" s="99"/>
      <c r="G23" s="99"/>
      <c r="H23" s="99"/>
      <c r="I23" s="100"/>
      <c r="J23" s="99"/>
      <c r="K23" s="99"/>
      <c r="L23" s="101"/>
      <c r="M23" s="110"/>
    </row>
    <row r="24" spans="1:15" s="2" customFormat="1" ht="18" customHeight="1" x14ac:dyDescent="0.25">
      <c r="A24" s="176" t="s">
        <v>326</v>
      </c>
      <c r="B24" s="62"/>
      <c r="C24" s="63"/>
      <c r="D24" s="63"/>
      <c r="E24" s="64"/>
      <c r="F24" s="64"/>
      <c r="G24" s="63"/>
      <c r="H24" s="64"/>
      <c r="I24" s="64"/>
      <c r="J24" s="64"/>
      <c r="K24" s="64"/>
      <c r="L24" s="65"/>
      <c r="M24" s="64"/>
      <c r="N24" s="64"/>
      <c r="O24" s="64"/>
    </row>
    <row r="25" spans="1:15" ht="18" customHeight="1" x14ac:dyDescent="0.2">
      <c r="A25" s="175" t="s">
        <v>328</v>
      </c>
    </row>
    <row r="26" spans="1:15" ht="18" customHeight="1" x14ac:dyDescent="0.2"/>
    <row r="27" spans="1:15" ht="18" customHeight="1" x14ac:dyDescent="0.2"/>
    <row r="28" spans="1:15" ht="18" customHeight="1" x14ac:dyDescent="0.2"/>
    <row r="29" spans="1:15" ht="18" customHeight="1" x14ac:dyDescent="0.2"/>
    <row r="30" spans="1:15" ht="18" customHeight="1" x14ac:dyDescent="0.2"/>
    <row r="31" spans="1:15" ht="18" customHeight="1" x14ac:dyDescent="0.2"/>
    <row r="32" spans="1:15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  <row r="604" ht="18" customHeight="1" x14ac:dyDescent="0.2"/>
    <row r="605" ht="18" customHeight="1" x14ac:dyDescent="0.2"/>
    <row r="606" ht="18" customHeight="1" x14ac:dyDescent="0.2"/>
    <row r="607" ht="18" customHeight="1" x14ac:dyDescent="0.2"/>
    <row r="608" ht="18" customHeight="1" x14ac:dyDescent="0.2"/>
    <row r="609" ht="18" customHeight="1" x14ac:dyDescent="0.2"/>
    <row r="610" ht="18" customHeight="1" x14ac:dyDescent="0.2"/>
    <row r="611" ht="18" customHeight="1" x14ac:dyDescent="0.2"/>
    <row r="612" ht="18" customHeight="1" x14ac:dyDescent="0.2"/>
    <row r="613" ht="18" customHeight="1" x14ac:dyDescent="0.2"/>
    <row r="614" ht="18" customHeight="1" x14ac:dyDescent="0.2"/>
    <row r="615" ht="18" customHeight="1" x14ac:dyDescent="0.2"/>
    <row r="616" ht="18" customHeight="1" x14ac:dyDescent="0.2"/>
    <row r="617" ht="18" customHeight="1" x14ac:dyDescent="0.2"/>
    <row r="618" ht="18" customHeight="1" x14ac:dyDescent="0.2"/>
    <row r="619" ht="18" customHeight="1" x14ac:dyDescent="0.2"/>
    <row r="620" ht="18" customHeight="1" x14ac:dyDescent="0.2"/>
    <row r="621" ht="18" customHeight="1" x14ac:dyDescent="0.2"/>
    <row r="622" ht="18" customHeight="1" x14ac:dyDescent="0.2"/>
    <row r="623" ht="18" customHeight="1" x14ac:dyDescent="0.2"/>
    <row r="624" ht="18" customHeight="1" x14ac:dyDescent="0.2"/>
    <row r="625" ht="18" customHeight="1" x14ac:dyDescent="0.2"/>
    <row r="626" ht="18" customHeight="1" x14ac:dyDescent="0.2"/>
    <row r="627" ht="18" customHeight="1" x14ac:dyDescent="0.2"/>
    <row r="628" ht="18" customHeight="1" x14ac:dyDescent="0.2"/>
    <row r="629" ht="18" customHeight="1" x14ac:dyDescent="0.2"/>
    <row r="630" ht="18" customHeight="1" x14ac:dyDescent="0.2"/>
    <row r="631" ht="18" customHeight="1" x14ac:dyDescent="0.2"/>
    <row r="632" ht="18" customHeight="1" x14ac:dyDescent="0.2"/>
    <row r="633" ht="18" customHeight="1" x14ac:dyDescent="0.2"/>
    <row r="634" ht="18" customHeight="1" x14ac:dyDescent="0.2"/>
    <row r="635" ht="18" customHeight="1" x14ac:dyDescent="0.2"/>
    <row r="636" ht="18" customHeight="1" x14ac:dyDescent="0.2"/>
    <row r="637" ht="18" customHeight="1" x14ac:dyDescent="0.2"/>
    <row r="638" ht="18" customHeight="1" x14ac:dyDescent="0.2"/>
    <row r="639" ht="18" customHeight="1" x14ac:dyDescent="0.2"/>
    <row r="640" ht="18" customHeight="1" x14ac:dyDescent="0.2"/>
    <row r="641" ht="18" customHeight="1" x14ac:dyDescent="0.2"/>
    <row r="642" ht="18" customHeight="1" x14ac:dyDescent="0.2"/>
    <row r="643" ht="18" customHeight="1" x14ac:dyDescent="0.2"/>
    <row r="644" ht="18" customHeight="1" x14ac:dyDescent="0.2"/>
    <row r="645" ht="18" customHeight="1" x14ac:dyDescent="0.2"/>
    <row r="646" ht="18" customHeight="1" x14ac:dyDescent="0.2"/>
    <row r="647" ht="18" customHeight="1" x14ac:dyDescent="0.2"/>
    <row r="648" ht="18" customHeight="1" x14ac:dyDescent="0.2"/>
    <row r="649" ht="18" customHeight="1" x14ac:dyDescent="0.2"/>
    <row r="650" ht="18" customHeight="1" x14ac:dyDescent="0.2"/>
    <row r="651" ht="18" customHeight="1" x14ac:dyDescent="0.2"/>
    <row r="652" ht="18" customHeight="1" x14ac:dyDescent="0.2"/>
    <row r="653" ht="18" customHeight="1" x14ac:dyDescent="0.2"/>
    <row r="654" ht="18" customHeight="1" x14ac:dyDescent="0.2"/>
    <row r="655" ht="18" customHeight="1" x14ac:dyDescent="0.2"/>
    <row r="656" ht="18" customHeight="1" x14ac:dyDescent="0.2"/>
    <row r="657" ht="18" customHeight="1" x14ac:dyDescent="0.2"/>
    <row r="658" ht="18" customHeight="1" x14ac:dyDescent="0.2"/>
    <row r="659" ht="18" customHeight="1" x14ac:dyDescent="0.2"/>
    <row r="660" ht="18" customHeight="1" x14ac:dyDescent="0.2"/>
    <row r="661" ht="18" customHeight="1" x14ac:dyDescent="0.2"/>
    <row r="662" ht="18" customHeight="1" x14ac:dyDescent="0.2"/>
    <row r="663" ht="18" customHeight="1" x14ac:dyDescent="0.2"/>
    <row r="664" ht="18" customHeight="1" x14ac:dyDescent="0.2"/>
    <row r="665" ht="18" customHeight="1" x14ac:dyDescent="0.2"/>
    <row r="666" ht="18" customHeight="1" x14ac:dyDescent="0.2"/>
    <row r="667" ht="18" customHeight="1" x14ac:dyDescent="0.2"/>
    <row r="668" ht="18" customHeight="1" x14ac:dyDescent="0.2"/>
    <row r="669" ht="18" customHeight="1" x14ac:dyDescent="0.2"/>
    <row r="670" ht="18" customHeight="1" x14ac:dyDescent="0.2"/>
    <row r="671" ht="18" customHeight="1" x14ac:dyDescent="0.2"/>
    <row r="672" ht="18" customHeight="1" x14ac:dyDescent="0.2"/>
    <row r="673" ht="18" customHeight="1" x14ac:dyDescent="0.2"/>
    <row r="674" ht="18" customHeight="1" x14ac:dyDescent="0.2"/>
    <row r="675" ht="18" customHeight="1" x14ac:dyDescent="0.2"/>
    <row r="676" ht="18" customHeight="1" x14ac:dyDescent="0.2"/>
    <row r="677" ht="18" customHeight="1" x14ac:dyDescent="0.2"/>
    <row r="678" ht="18" customHeight="1" x14ac:dyDescent="0.2"/>
    <row r="679" ht="18" customHeight="1" x14ac:dyDescent="0.2"/>
    <row r="680" ht="18" customHeight="1" x14ac:dyDescent="0.2"/>
    <row r="681" ht="18" customHeight="1" x14ac:dyDescent="0.2"/>
    <row r="682" ht="18" customHeight="1" x14ac:dyDescent="0.2"/>
    <row r="683" ht="18" customHeight="1" x14ac:dyDescent="0.2"/>
    <row r="684" ht="18" customHeight="1" x14ac:dyDescent="0.2"/>
    <row r="685" ht="18" customHeight="1" x14ac:dyDescent="0.2"/>
    <row r="686" ht="18" customHeight="1" x14ac:dyDescent="0.2"/>
    <row r="687" ht="18" customHeight="1" x14ac:dyDescent="0.2"/>
    <row r="688" ht="18" customHeight="1" x14ac:dyDescent="0.2"/>
    <row r="689" ht="18" customHeight="1" x14ac:dyDescent="0.2"/>
    <row r="690" ht="18" customHeight="1" x14ac:dyDescent="0.2"/>
    <row r="691" ht="18" customHeight="1" x14ac:dyDescent="0.2"/>
    <row r="692" ht="18" customHeight="1" x14ac:dyDescent="0.2"/>
    <row r="693" ht="18" customHeight="1" x14ac:dyDescent="0.2"/>
    <row r="694" ht="18" customHeight="1" x14ac:dyDescent="0.2"/>
    <row r="695" ht="18" customHeight="1" x14ac:dyDescent="0.2"/>
    <row r="696" ht="18" customHeight="1" x14ac:dyDescent="0.2"/>
    <row r="697" ht="18" customHeight="1" x14ac:dyDescent="0.2"/>
    <row r="698" ht="18" customHeight="1" x14ac:dyDescent="0.2"/>
    <row r="699" ht="18" customHeight="1" x14ac:dyDescent="0.2"/>
    <row r="700" ht="18" customHeight="1" x14ac:dyDescent="0.2"/>
    <row r="701" ht="18" customHeight="1" x14ac:dyDescent="0.2"/>
    <row r="702" ht="18" customHeight="1" x14ac:dyDescent="0.2"/>
    <row r="703" ht="18" customHeight="1" x14ac:dyDescent="0.2"/>
    <row r="704" ht="18" customHeight="1" x14ac:dyDescent="0.2"/>
    <row r="705" ht="18" customHeight="1" x14ac:dyDescent="0.2"/>
    <row r="706" ht="18" customHeight="1" x14ac:dyDescent="0.2"/>
    <row r="707" ht="18" customHeight="1" x14ac:dyDescent="0.2"/>
    <row r="708" ht="18" customHeight="1" x14ac:dyDescent="0.2"/>
    <row r="709" ht="18" customHeight="1" x14ac:dyDescent="0.2"/>
    <row r="710" ht="18" customHeight="1" x14ac:dyDescent="0.2"/>
    <row r="711" ht="18" customHeight="1" x14ac:dyDescent="0.2"/>
    <row r="712" ht="18" customHeight="1" x14ac:dyDescent="0.2"/>
    <row r="713" ht="18" customHeight="1" x14ac:dyDescent="0.2"/>
    <row r="714" ht="18" customHeight="1" x14ac:dyDescent="0.2"/>
    <row r="715" ht="18" customHeight="1" x14ac:dyDescent="0.2"/>
    <row r="716" ht="18" customHeight="1" x14ac:dyDescent="0.2"/>
    <row r="717" ht="18" customHeight="1" x14ac:dyDescent="0.2"/>
    <row r="718" ht="18" customHeight="1" x14ac:dyDescent="0.2"/>
    <row r="719" ht="18" customHeight="1" x14ac:dyDescent="0.2"/>
    <row r="720" ht="18" customHeight="1" x14ac:dyDescent="0.2"/>
    <row r="721" ht="18" customHeight="1" x14ac:dyDescent="0.2"/>
    <row r="722" ht="18" customHeight="1" x14ac:dyDescent="0.2"/>
    <row r="723" ht="18" customHeight="1" x14ac:dyDescent="0.2"/>
    <row r="724" ht="18" customHeight="1" x14ac:dyDescent="0.2"/>
    <row r="725" ht="18" customHeight="1" x14ac:dyDescent="0.2"/>
    <row r="726" ht="18" customHeight="1" x14ac:dyDescent="0.2"/>
    <row r="727" ht="18" customHeight="1" x14ac:dyDescent="0.2"/>
    <row r="728" ht="18" customHeight="1" x14ac:dyDescent="0.2"/>
    <row r="729" ht="18" customHeight="1" x14ac:dyDescent="0.2"/>
    <row r="730" ht="18" customHeight="1" x14ac:dyDescent="0.2"/>
    <row r="731" ht="18" customHeight="1" x14ac:dyDescent="0.2"/>
    <row r="732" ht="18" customHeight="1" x14ac:dyDescent="0.2"/>
    <row r="733" ht="18" customHeight="1" x14ac:dyDescent="0.2"/>
    <row r="734" ht="18" customHeight="1" x14ac:dyDescent="0.2"/>
    <row r="735" ht="18" customHeight="1" x14ac:dyDescent="0.2"/>
    <row r="736" ht="18" customHeight="1" x14ac:dyDescent="0.2"/>
    <row r="737" ht="18" customHeight="1" x14ac:dyDescent="0.2"/>
    <row r="738" ht="18" customHeight="1" x14ac:dyDescent="0.2"/>
    <row r="739" ht="18" customHeight="1" x14ac:dyDescent="0.2"/>
    <row r="740" ht="18" customHeight="1" x14ac:dyDescent="0.2"/>
    <row r="741" ht="18" customHeight="1" x14ac:dyDescent="0.2"/>
    <row r="742" ht="18" customHeight="1" x14ac:dyDescent="0.2"/>
    <row r="743" ht="18" customHeight="1" x14ac:dyDescent="0.2"/>
    <row r="744" ht="18" customHeight="1" x14ac:dyDescent="0.2"/>
    <row r="745" ht="18" customHeight="1" x14ac:dyDescent="0.2"/>
    <row r="746" ht="18" customHeight="1" x14ac:dyDescent="0.2"/>
    <row r="747" ht="18" customHeight="1" x14ac:dyDescent="0.2"/>
    <row r="748" ht="18" customHeight="1" x14ac:dyDescent="0.2"/>
    <row r="749" ht="18" customHeight="1" x14ac:dyDescent="0.2"/>
    <row r="750" ht="18" customHeight="1" x14ac:dyDescent="0.2"/>
    <row r="751" ht="18" customHeight="1" x14ac:dyDescent="0.2"/>
    <row r="752" ht="18" customHeight="1" x14ac:dyDescent="0.2"/>
    <row r="753" ht="18" customHeight="1" x14ac:dyDescent="0.2"/>
    <row r="754" ht="18" customHeight="1" x14ac:dyDescent="0.2"/>
    <row r="755" ht="18" customHeight="1" x14ac:dyDescent="0.2"/>
    <row r="756" ht="18" customHeight="1" x14ac:dyDescent="0.2"/>
    <row r="757" ht="18" customHeight="1" x14ac:dyDescent="0.2"/>
    <row r="758" ht="18" customHeight="1" x14ac:dyDescent="0.2"/>
    <row r="759" ht="18" customHeight="1" x14ac:dyDescent="0.2"/>
    <row r="760" ht="18" customHeight="1" x14ac:dyDescent="0.2"/>
    <row r="761" ht="18" customHeight="1" x14ac:dyDescent="0.2"/>
    <row r="762" ht="18" customHeight="1" x14ac:dyDescent="0.2"/>
    <row r="763" ht="18" customHeight="1" x14ac:dyDescent="0.2"/>
    <row r="764" ht="18" customHeight="1" x14ac:dyDescent="0.2"/>
    <row r="765" ht="18" customHeight="1" x14ac:dyDescent="0.2"/>
    <row r="766" ht="18" customHeight="1" x14ac:dyDescent="0.2"/>
    <row r="767" ht="18" customHeight="1" x14ac:dyDescent="0.2"/>
    <row r="768" ht="18" customHeight="1" x14ac:dyDescent="0.2"/>
    <row r="769" ht="18" customHeight="1" x14ac:dyDescent="0.2"/>
    <row r="770" ht="18" customHeight="1" x14ac:dyDescent="0.2"/>
    <row r="771" ht="18" customHeight="1" x14ac:dyDescent="0.2"/>
    <row r="772" ht="18" customHeight="1" x14ac:dyDescent="0.2"/>
    <row r="773" ht="18" customHeight="1" x14ac:dyDescent="0.2"/>
    <row r="774" ht="18" customHeight="1" x14ac:dyDescent="0.2"/>
    <row r="775" ht="18" customHeight="1" x14ac:dyDescent="0.2"/>
    <row r="776" ht="18" customHeight="1" x14ac:dyDescent="0.2"/>
    <row r="777" ht="18" customHeight="1" x14ac:dyDescent="0.2"/>
    <row r="778" ht="18" customHeight="1" x14ac:dyDescent="0.2"/>
    <row r="779" ht="18" customHeight="1" x14ac:dyDescent="0.2"/>
    <row r="780" ht="18" customHeight="1" x14ac:dyDescent="0.2"/>
    <row r="781" ht="18" customHeight="1" x14ac:dyDescent="0.2"/>
    <row r="782" ht="18" customHeight="1" x14ac:dyDescent="0.2"/>
    <row r="783" ht="18" customHeight="1" x14ac:dyDescent="0.2"/>
    <row r="784" ht="18" customHeight="1" x14ac:dyDescent="0.2"/>
    <row r="785" ht="18" customHeight="1" x14ac:dyDescent="0.2"/>
    <row r="786" ht="18" customHeight="1" x14ac:dyDescent="0.2"/>
    <row r="787" ht="18" customHeight="1" x14ac:dyDescent="0.2"/>
    <row r="788" ht="18" customHeight="1" x14ac:dyDescent="0.2"/>
    <row r="789" ht="18" customHeight="1" x14ac:dyDescent="0.2"/>
    <row r="790" ht="18" customHeight="1" x14ac:dyDescent="0.2"/>
    <row r="791" ht="18" customHeight="1" x14ac:dyDescent="0.2"/>
    <row r="792" ht="18" customHeight="1" x14ac:dyDescent="0.2"/>
    <row r="793" ht="18" customHeight="1" x14ac:dyDescent="0.2"/>
    <row r="794" ht="18" customHeight="1" x14ac:dyDescent="0.2"/>
    <row r="795" ht="18" customHeight="1" x14ac:dyDescent="0.2"/>
    <row r="796" ht="18" customHeight="1" x14ac:dyDescent="0.2"/>
    <row r="797" ht="18" customHeight="1" x14ac:dyDescent="0.2"/>
    <row r="798" ht="18" customHeight="1" x14ac:dyDescent="0.2"/>
    <row r="799" ht="18" customHeight="1" x14ac:dyDescent="0.2"/>
    <row r="800" ht="18" customHeight="1" x14ac:dyDescent="0.2"/>
    <row r="801" ht="18" customHeight="1" x14ac:dyDescent="0.2"/>
    <row r="802" ht="18" customHeight="1" x14ac:dyDescent="0.2"/>
    <row r="803" ht="18" customHeight="1" x14ac:dyDescent="0.2"/>
    <row r="804" ht="18" customHeight="1" x14ac:dyDescent="0.2"/>
    <row r="805" ht="18" customHeight="1" x14ac:dyDescent="0.2"/>
    <row r="806" ht="18" customHeight="1" x14ac:dyDescent="0.2"/>
    <row r="807" ht="18" customHeight="1" x14ac:dyDescent="0.2"/>
    <row r="808" ht="18" customHeight="1" x14ac:dyDescent="0.2"/>
    <row r="809" ht="18" customHeight="1" x14ac:dyDescent="0.2"/>
    <row r="810" ht="18" customHeight="1" x14ac:dyDescent="0.2"/>
    <row r="811" ht="18" customHeight="1" x14ac:dyDescent="0.2"/>
    <row r="812" ht="18" customHeight="1" x14ac:dyDescent="0.2"/>
    <row r="813" ht="18" customHeight="1" x14ac:dyDescent="0.2"/>
    <row r="814" ht="18" customHeight="1" x14ac:dyDescent="0.2"/>
    <row r="815" ht="18" customHeight="1" x14ac:dyDescent="0.2"/>
    <row r="816" ht="18" customHeight="1" x14ac:dyDescent="0.2"/>
    <row r="817" ht="18" customHeight="1" x14ac:dyDescent="0.2"/>
    <row r="818" ht="18" customHeight="1" x14ac:dyDescent="0.2"/>
    <row r="819" ht="18" customHeight="1" x14ac:dyDescent="0.2"/>
    <row r="820" ht="18" customHeight="1" x14ac:dyDescent="0.2"/>
    <row r="821" ht="18" customHeight="1" x14ac:dyDescent="0.2"/>
    <row r="822" ht="18" customHeight="1" x14ac:dyDescent="0.2"/>
    <row r="823" ht="18" customHeight="1" x14ac:dyDescent="0.2"/>
    <row r="824" ht="18" customHeight="1" x14ac:dyDescent="0.2"/>
    <row r="825" ht="18" customHeight="1" x14ac:dyDescent="0.2"/>
    <row r="826" ht="18" customHeight="1" x14ac:dyDescent="0.2"/>
    <row r="827" ht="18" customHeight="1" x14ac:dyDescent="0.2"/>
    <row r="828" ht="18" customHeight="1" x14ac:dyDescent="0.2"/>
    <row r="829" ht="18" customHeight="1" x14ac:dyDescent="0.2"/>
    <row r="830" ht="18" customHeight="1" x14ac:dyDescent="0.2"/>
    <row r="831" ht="18" customHeight="1" x14ac:dyDescent="0.2"/>
    <row r="832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  <row r="854" ht="18" customHeight="1" x14ac:dyDescent="0.2"/>
    <row r="855" ht="18" customHeight="1" x14ac:dyDescent="0.2"/>
    <row r="856" ht="18" customHeight="1" x14ac:dyDescent="0.2"/>
    <row r="857" ht="18" customHeight="1" x14ac:dyDescent="0.2"/>
    <row r="858" ht="18" customHeight="1" x14ac:dyDescent="0.2"/>
    <row r="859" ht="18" customHeight="1" x14ac:dyDescent="0.2"/>
    <row r="860" ht="18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</sheetData>
  <sheetProtection algorithmName="SHA-512" hashValue="dZX1dybkhLpw4EfshAY5Wh3KNSzQ5yYjHaq1OiSAkIRfqWSiMUgAANZ1qsmfkrObeuk3cTqHsaIq38IezfJb+g==" saltValue="wYROOtrMMnlTGi5DIZUgFA==" spinCount="100000" sheet="1" objects="1" scenarios="1"/>
  <mergeCells count="41">
    <mergeCell ref="C15:D15"/>
    <mergeCell ref="F15:G15"/>
    <mergeCell ref="L14:M14"/>
    <mergeCell ref="E18:E19"/>
    <mergeCell ref="I18:J18"/>
    <mergeCell ref="A18:A19"/>
    <mergeCell ref="B18:B19"/>
    <mergeCell ref="C18:C19"/>
    <mergeCell ref="D18:D19"/>
    <mergeCell ref="L18:L19"/>
    <mergeCell ref="K18:K19"/>
    <mergeCell ref="H18:H19"/>
    <mergeCell ref="G18:G19"/>
    <mergeCell ref="B2:F2"/>
    <mergeCell ref="B4:F4"/>
    <mergeCell ref="B6:F6"/>
    <mergeCell ref="B8:C8"/>
    <mergeCell ref="C14:D14"/>
    <mergeCell ref="C11:D11"/>
    <mergeCell ref="F11:G11"/>
    <mergeCell ref="C12:D12"/>
    <mergeCell ref="C13:D13"/>
    <mergeCell ref="F14:G14"/>
    <mergeCell ref="F12:G12"/>
    <mergeCell ref="F13:G13"/>
    <mergeCell ref="K6:M6"/>
    <mergeCell ref="K7:M7"/>
    <mergeCell ref="I7:J7"/>
    <mergeCell ref="I6:J6"/>
    <mergeCell ref="K8:M8"/>
    <mergeCell ref="I11:J11"/>
    <mergeCell ref="I13:J13"/>
    <mergeCell ref="F18:F19"/>
    <mergeCell ref="L11:M11"/>
    <mergeCell ref="L12:M12"/>
    <mergeCell ref="L13:M13"/>
    <mergeCell ref="M18:M19"/>
    <mergeCell ref="I12:J12"/>
    <mergeCell ref="I15:J15"/>
    <mergeCell ref="L15:M15"/>
    <mergeCell ref="I14:J14"/>
  </mergeCells>
  <phoneticPr fontId="4" type="noConversion"/>
  <dataValidations xWindow="732" yWindow="480" count="10">
    <dataValidation type="list" showInputMessage="1" showErrorMessage="1" sqref="I9" xr:uid="{00000000-0002-0000-0100-000000000000}">
      <formula1>"No, Yes"</formula1>
    </dataValidation>
    <dataValidation allowBlank="1" showInputMessage="1" showErrorMessage="1" promptTitle="Depth:" prompt="If lime is to be applied, what will be the incorp. depth.  Default is 6.67&quot;." sqref="K7" xr:uid="{00000000-0002-0000-0100-000001000000}"/>
    <dataValidation allowBlank="1" showInputMessage="1" promptTitle="Region:" prompt="Indicates what part of Kansas your county is located in." sqref="F8" xr:uid="{00000000-0002-0000-0100-000002000000}"/>
    <dataValidation type="textLength" allowBlank="1" showInputMessage="1" showErrorMessage="1" errorTitle="County:" error="Please enter full county name." promptTitle="County:" prompt="Please enter full county name" sqref="B8:C8" xr:uid="{00000000-0002-0000-0100-000003000000}">
      <formula1>3</formula1>
      <formula2>20</formula2>
    </dataValidation>
    <dataValidation allowBlank="1" showInputMessage="1" showErrorMessage="1" promptTitle="Sample depth:" prompt="If entering nitrate value must specify sample depth." sqref="F20:F23" xr:uid="{00000000-0002-0000-0100-000004000000}"/>
    <dataValidation type="list" allowBlank="1" showInputMessage="1" showErrorMessage="1" sqref="I7" xr:uid="{00000000-0002-0000-0100-000005000000}">
      <formula1>"Conventional, No-till, Other"</formula1>
    </dataValidation>
    <dataValidation type="list" allowBlank="1" showInputMessage="1" showErrorMessage="1" promptTitle="Previous Crop" prompt="Please select Previous Crop" sqref="L12:M15" xr:uid="{00000000-0002-0000-0100-000006000000}">
      <formula1>"Alfalfa-Excell.,Alfalfa-Good,Alfalfa-Fair,Alfalfa-Poor,Bermuda,Brome,Corn,Fallow,Fescue,Grain Sorghum,Oats,Red Clover-Excell.,Red Clover-Good,Red Clover-Poor,Silag-Corn,Silage-Milo,Soybeans,Sweet Clover-Good, Sweet Clover-Poor,Sunflower,Wheat"</formula1>
    </dataValidation>
    <dataValidation type="list" allowBlank="1" showInputMessage="1" showErrorMessage="1" promptTitle="Select Intended Crop" prompt="Please select Intended Crop" sqref="C12:D15 F12:G15 I12:J15" xr:uid="{00000000-0002-0000-0100-000007000000}">
      <formula1>"Select, Alfalfa, Bermuda, Brome, Corn, Fescue, Grain Sorghum, New Alfalfa/Clover, New Bermuda, New Brome, New Fescue, Oats, Silage-Corn, Silage-Sorghum, Soybeans, Sunflower, Wheat"</formula1>
    </dataValidation>
    <dataValidation type="textLength" errorStyle="warning" showInputMessage="1" showErrorMessage="1" error="Please give a realistic yield goal." promptTitle="Yield Goal" prompt="Enter acceptable yield goal." sqref="E12:E15 H12:H15 K12:K15" xr:uid="{00000000-0002-0000-0100-000008000000}">
      <formula1>1</formula1>
      <formula2>4</formula2>
    </dataValidation>
    <dataValidation type="whole" allowBlank="1" showInputMessage="1" showErrorMessage="1" promptTitle="Sample Depth:" prompt="Enter total depth of sample (ex. 0-6&quot; and 6-24&quot; = 24&quot; total depth)" sqref="B12:B15" xr:uid="{00000000-0002-0000-0100-000009000000}">
      <formula1>0</formula1>
      <formula2>50</formula2>
    </dataValidation>
  </dataValidations>
  <pageMargins left="0.75" right="0.75" top="1" bottom="1" header="0.5" footer="0.5"/>
  <pageSetup scale="82" orientation="landscape" horizontalDpi="4294967294" r:id="rId1"/>
  <headerFooter alignWithMargins="0">
    <oddHeader>&amp;L&amp;G&amp;C&amp;16SOIL TEST REPORT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53"/>
    <pageSetUpPr fitToPage="1"/>
  </sheetPr>
  <dimension ref="A1:M28"/>
  <sheetViews>
    <sheetView zoomScale="80" zoomScaleNormal="80" workbookViewId="0">
      <selection activeCell="Q14" sqref="Q14"/>
    </sheetView>
  </sheetViews>
  <sheetFormatPr defaultRowHeight="12.75" x14ac:dyDescent="0.2"/>
  <cols>
    <col min="1" max="1" width="9.7109375" customWidth="1"/>
    <col min="2" max="2" width="12.42578125" customWidth="1"/>
    <col min="3" max="3" width="19.140625" customWidth="1"/>
    <col min="4" max="4" width="17.85546875" customWidth="1"/>
    <col min="5" max="7" width="11" customWidth="1"/>
    <col min="8" max="9" width="11.7109375" customWidth="1"/>
    <col min="10" max="11" width="8.28515625" customWidth="1"/>
    <col min="12" max="12" width="9.42578125" customWidth="1"/>
    <col min="13" max="13" width="8.28515625" customWidth="1"/>
  </cols>
  <sheetData>
    <row r="1" spans="1:13" ht="21" thickBot="1" x14ac:dyDescent="0.35">
      <c r="E1" s="114"/>
      <c r="F1" s="232" t="s">
        <v>85</v>
      </c>
      <c r="G1" s="233"/>
      <c r="H1" s="233"/>
      <c r="I1" s="233"/>
      <c r="J1" s="233"/>
      <c r="K1" s="233"/>
      <c r="L1" s="233"/>
      <c r="M1" s="234"/>
    </row>
    <row r="2" spans="1:13" s="44" customFormat="1" ht="18.75" customHeight="1" x14ac:dyDescent="0.2">
      <c r="A2" s="224" t="s">
        <v>13</v>
      </c>
      <c r="B2" s="235" t="s">
        <v>11</v>
      </c>
      <c r="C2" s="238" t="s">
        <v>8</v>
      </c>
      <c r="D2" s="224" t="s">
        <v>4</v>
      </c>
      <c r="E2" s="224" t="s">
        <v>21</v>
      </c>
      <c r="F2" s="240" t="s">
        <v>23</v>
      </c>
      <c r="G2" s="224" t="s">
        <v>24</v>
      </c>
      <c r="H2" s="242" t="s">
        <v>29</v>
      </c>
      <c r="I2" s="224" t="s">
        <v>28</v>
      </c>
      <c r="J2" s="224" t="s">
        <v>25</v>
      </c>
      <c r="K2" s="224" t="s">
        <v>26</v>
      </c>
      <c r="L2" s="240" t="s">
        <v>27</v>
      </c>
      <c r="M2" s="235" t="s">
        <v>79</v>
      </c>
    </row>
    <row r="3" spans="1:13" s="44" customFormat="1" ht="18.95" customHeight="1" thickBot="1" x14ac:dyDescent="0.25">
      <c r="A3" s="237"/>
      <c r="B3" s="236"/>
      <c r="C3" s="239"/>
      <c r="D3" s="237"/>
      <c r="E3" s="237"/>
      <c r="F3" s="241"/>
      <c r="G3" s="237"/>
      <c r="H3" s="243"/>
      <c r="I3" s="237"/>
      <c r="J3" s="237"/>
      <c r="K3" s="237"/>
      <c r="L3" s="241"/>
      <c r="M3" s="236"/>
    </row>
    <row r="4" spans="1:13" s="44" customFormat="1" ht="18.95" customHeight="1" x14ac:dyDescent="0.2">
      <c r="A4" s="45" t="str">
        <f>IF(Information!A20="","",Information!A20)</f>
        <v/>
      </c>
      <c r="B4" s="46" t="str">
        <f>IF(Information!B20="","",Information!B20)</f>
        <v/>
      </c>
      <c r="C4" s="117" t="str">
        <f>IF(Information!$L$12="","",Information!$L$12)</f>
        <v/>
      </c>
      <c r="D4" s="118" t="str">
        <f>IF(Information!C12="","",Information!C12)</f>
        <v/>
      </c>
      <c r="E4" s="119" t="str">
        <f>IF(Information!E12&gt;0,Information!E12,"")</f>
        <v/>
      </c>
      <c r="F4" s="120" t="str">
        <f>IF(OR(Information!$C$12="",Information!$D$20=""),"",IF('Lime Rec.'!$B$33&gt;0,'Lime Rec.'!$B$33,IF('Lime Rec.'!$B$33=0,"0","")))</f>
        <v/>
      </c>
      <c r="G4" s="120" t="str">
        <f>IF(AND(Information!$C$12="Corn",'N Rec.'!$C$121&gt;=230,Information!$I$9="No"),230,IF(AND(Information!$C$12="Corn",'N Rec.'!$C$121&gt;=300,Information!$I$9="Yes"),300,IF(AND(Information!$C$12="Silage-Corn",'N Rec.'!$C$121&gt;=230,Information!$I$9="No"),230,IF(AND(Information!$C$12="Silage-Corn",'N Rec.'!$C$121&gt;=300,Information!$I$9="Yes"),300,IF('N Rec.'!$C$121&gt;9,'N Rec.'!$C$121,IF(Information!$C$12="","",IF('N Rec.'!$C$121&lt;9,0,IF(Information!$C$12="New Alfalfa/Clover",20,""))))))))</f>
        <v/>
      </c>
      <c r="H4" s="121" t="str">
        <f>IF(OR(Information!$C$12="",Information!$G$20=""),"",IF('P Rec.'!B$20&gt;14,'P Rec.'!B$20,IF(AND('P Rec.'!B$20&lt;14,Information!$G$20&lt;20),15,0)))</f>
        <v/>
      </c>
      <c r="I4" s="121" t="str">
        <f>IF(OR(Information!$C$12="",Information!$H$20=""),"",IF('K Rec.'!B$20&gt;14,'K Rec.'!B$20,IF(AND('K Rec.'!B$20&lt;14,Information!$H$20&lt;130),15,0)))</f>
        <v/>
      </c>
      <c r="J4" s="121" t="str">
        <f>IF('Zn Rec.'!B$5&gt;0,'Zn Rec.'!B$5,IF(Information!$C12="","",IF(AND('Zn Rec.'!B$5=0,Information!I20=""),"",IF(AND('Zn Rec.'!B$5=0,Information!I20&gt;0),0,""))))</f>
        <v/>
      </c>
      <c r="K4" s="121" t="str">
        <f>IF('S Rec.'!B$17&gt;0,'S Rec.'!B$17,IF(Information!$C12="","",IF(AND('S Rec.'!B$17=0,Information!K20=""),"",IF(AND('S Rec.'!B$17=0,Information!K20&gt;0),0,""))))</f>
        <v/>
      </c>
      <c r="L4" s="119" t="str">
        <f>IF('Cl Rec.'!B$7&gt;0,'Cl Rec.'!B$7,IF(Information!$C12="","",IF(AND('Cl Rec.'!B$7=0,Information!L20=""),"",IF(AND('Cl Rec.'!B$7=0,Information!L20&gt;0),0,""))))</f>
        <v/>
      </c>
      <c r="M4" s="122" t="str">
        <f>IF('B Rec.'!B$8&gt;0,'B Rec.'!B$8,IF(Information!$C12="","",IF(AND('B Rec.'!B$8=0,Information!$M$20=""),"",IF(AND('B Rec.'!B$8=0,Information!$M$20&gt;0),0,""))))</f>
        <v/>
      </c>
    </row>
    <row r="5" spans="1:13" s="44" customFormat="1" ht="18.95" customHeight="1" x14ac:dyDescent="0.2">
      <c r="A5" s="47"/>
      <c r="B5" s="48"/>
      <c r="C5" s="117"/>
      <c r="D5" s="118" t="str">
        <f>IF(Information!F12="","",Information!F12)</f>
        <v/>
      </c>
      <c r="E5" s="119" t="str">
        <f>IF(Information!H12&gt;0,Information!H12,"")</f>
        <v/>
      </c>
      <c r="F5" s="120" t="str">
        <f>IF(OR(Information!$F$12="",Information!$D$20=""),"",IF('Lime Rec.'!$H$33&gt;0,'Lime Rec.'!$H$33,IF('Lime Rec.'!$H$33=0,"0","")))</f>
        <v/>
      </c>
      <c r="G5" s="120" t="str">
        <f>IF(AND(Information!$F$12="Corn",'N Rec.'!$J$121&gt;=230,Information!$I$9="No"),230,IF(AND(Information!$F$12="Corn",'N Rec.'!$J$121&gt;=300,Information!$I$9="Yes"),300,IF(AND(Information!$F$12="Silage-Corn",'N Rec.'!$J$121&gt;=230,Information!$I$9="No"),230,IF(AND(Information!$F$12="Silage-Corn",'N Rec.'!$J$121&gt;=300,Information!$I$9="Yes"),300,IF('N Rec.'!J121&gt;9,'N Rec.'!J$121,IF(Information!$F$12="","",IF('N Rec.'!J121&lt;9,0,IF(Information!F12="New Alfalfa/Clover",20,""))))))))</f>
        <v/>
      </c>
      <c r="H5" s="121" t="str">
        <f>IF(OR(Information!$F$12="",Information!$G$20=""),"",IF('P Rec.'!H$20&gt;14,'P Rec.'!H$20,IF(AND('P Rec.'!H$20&lt;14,Information!$G$20&lt;20),15,0)))</f>
        <v/>
      </c>
      <c r="I5" s="121" t="str">
        <f>IF(OR(Information!$F$12="",Information!$H$20=""),"",IF('K Rec.'!H$20&gt;14,'K Rec.'!H$20,IF(AND('K Rec.'!H$20&lt;14,Information!$H$20&lt;130),15,0)))</f>
        <v/>
      </c>
      <c r="J5" s="121" t="str">
        <f>IF('Zn Rec.'!H$5&gt;0,'Zn Rec.'!H$5,IF(Information!$F12="","",IF(AND('Zn Rec.'!H$5=0,Information!I20=""),"",IF(AND('Zn Rec.'!H$5=0,Information!I20&gt;0),0,""))))</f>
        <v/>
      </c>
      <c r="K5" s="121" t="str">
        <f>IF('S Rec.'!H$17&gt;0,'S Rec.'!H$17,IF(Information!$F12="","",IF(AND('S Rec.'!H$17=0,Information!K20=""),"",IF(AND('S Rec.'!H$17=0,Information!K20&gt;0),0,""))))</f>
        <v/>
      </c>
      <c r="L5" s="123" t="str">
        <f>IF('Cl Rec.'!H$7&gt;0,'Cl Rec.'!H$7,IF(Information!$F12="","",IF(AND('Cl Rec.'!H$7=0,Information!L20=""),"",IF(AND('Cl Rec.'!H$7=0,Information!L20&gt;0),0,""))))</f>
        <v/>
      </c>
      <c r="M5" s="124" t="str">
        <f>IF('B Rec.'!H$8&gt;0,'B Rec.'!H$8,IF(Information!$F12="","",IF(AND('B Rec.'!H$8=0,Information!$M$20=""),"",IF(AND('B Rec.'!H$8=0,Information!$M$20&gt;0),0,""))))</f>
        <v/>
      </c>
    </row>
    <row r="6" spans="1:13" s="44" customFormat="1" ht="18.95" customHeight="1" x14ac:dyDescent="0.2">
      <c r="A6" s="47"/>
      <c r="B6" s="48"/>
      <c r="C6" s="117"/>
      <c r="D6" s="118" t="str">
        <f>IF(Information!I12="","",Information!I12)</f>
        <v/>
      </c>
      <c r="E6" s="119" t="str">
        <f>IF(Information!K12&gt;0,Information!K12,"")</f>
        <v/>
      </c>
      <c r="F6" s="120" t="str">
        <f>IF(OR(Information!$I$12="",Information!$D$20=""),"",IF('Lime Rec.'!$N$33&gt;0,'Lime Rec.'!$N$33,IF('Lime Rec.'!$N$33=0,"0","")))</f>
        <v/>
      </c>
      <c r="G6" s="120" t="str">
        <f>IF(AND(Information!$I$12="Corn",'N Rec.'!$Q$121&gt;=230,Information!$I$9="No"),230,IF(AND(Information!$I$12="Corn",'N Rec.'!$Q$121&gt;=300,Information!$I$9="Yes"),300,IF(AND(Information!$I$12="Silage-Corn",'N Rec.'!$Q$121&gt;=230,Information!$I$9="No"),230,IF(AND(Information!$I$12="Silage-Corn",'N Rec.'!$Q$121&gt;=300,Information!$I$9="Yes"),300,IF('N Rec.'!Q$121&gt;9,'N Rec.'!Q$121,IF(Information!$I$12="","",IF('N Rec.'!$Q$121&lt;9,0,IF(Information!I12="New Alfalfa/Clover",20,""))))))))</f>
        <v/>
      </c>
      <c r="H6" s="121" t="str">
        <f>IF(OR(Information!$I$12="",Information!$G$20=""),"",IF('P Rec.'!N$20&gt;14,'P Rec.'!N$20,IF(AND('P Rec.'!N$20&lt;14,Information!$G$20&lt;20),15,0)))</f>
        <v/>
      </c>
      <c r="I6" s="121" t="str">
        <f>IF(OR(Information!$I$12="",Information!$H$20=""),"",IF('K Rec.'!N$20&gt;14,'K Rec.'!N$20,IF(AND('K Rec.'!N$20&lt;14,Information!$H$20&lt;130),15,0)))</f>
        <v/>
      </c>
      <c r="J6" s="121" t="str">
        <f>IF('Zn Rec.'!N$5&gt;0,'Zn Rec.'!N$5,IF(Information!$I12="","",IF(AND('Zn Rec.'!N$5=0,Information!I20=""),"",IF(AND('Zn Rec.'!N$5=0,Information!I20&gt;0),0,""))))</f>
        <v/>
      </c>
      <c r="K6" s="121" t="str">
        <f>IF('S Rec.'!N$17&gt;0,'S Rec.'!N$17,IF(Information!$I12="","",IF(AND('S Rec.'!N$17=0,Information!K20=""),"",IF(AND('S Rec.'!N$17=0,Information!K20&gt;0),0,""))))</f>
        <v/>
      </c>
      <c r="L6" s="123" t="str">
        <f>IF('Cl Rec.'!N$7&gt;0,'Cl Rec.'!N$7,IF(Information!$I12="","",IF(AND('Cl Rec.'!N$7=0,Information!L20=""),"",IF(AND('Cl Rec.'!N$7=0,Information!L20&gt;0),0,""))))</f>
        <v/>
      </c>
      <c r="M6" s="124" t="str">
        <f>IF('B Rec.'!N$8&gt;0,'B Rec.'!N$8,IF(Information!$I12="","",IF(AND('B Rec.'!N$8=0,Information!$M$20=""),"",IF(AND('B Rec.'!N$8=0,Information!$M$20&gt;0),0,""))))</f>
        <v/>
      </c>
    </row>
    <row r="7" spans="1:13" s="44" customFormat="1" ht="18.95" customHeight="1" x14ac:dyDescent="0.2">
      <c r="A7" s="49" t="str">
        <f>IF(Information!A21="","",Information!A21)</f>
        <v/>
      </c>
      <c r="B7" s="50" t="str">
        <f>IF(Information!B21="","",Information!B21)</f>
        <v/>
      </c>
      <c r="C7" s="125" t="str">
        <f>IF(Information!L13="","",Information!L13)</f>
        <v/>
      </c>
      <c r="D7" s="118" t="str">
        <f>IF(Information!$C$13="","",Information!$C$13)</f>
        <v/>
      </c>
      <c r="E7" s="119" t="str">
        <f>IF(Information!$E$13&gt;0,Information!$E$13,"")</f>
        <v/>
      </c>
      <c r="F7" s="120" t="str">
        <f>IF(OR(Information!$C$13="",Information!$D$21=""),"",IF('Lime Rec.'!$C$33&gt;0,'Lime Rec.'!$C$33,IF('Lime Rec.'!$C$33=0,"0","")))</f>
        <v/>
      </c>
      <c r="G7" s="120" t="str">
        <f>IF(AND(Information!$C$13="Corn",'N Rec.'!$D$121&gt;=230,Information!$I$9="No"),230,IF(AND(Information!$C$13="Corn",'N Rec.'!$D$121&gt;=300,Information!$I$9="Yes"),300,IF(AND(Information!$C$13="Silage-Corn",'N Rec.'!$D$121&gt;=230,Information!$I$9="No"),230,IF(AND(Information!$C$13="Silage-Corn",'N Rec.'!$D$121&gt;=300,Information!$I$9="Yes"),300,IF('N Rec.'!D$121&gt;9,'N Rec.'!D$121,IF(Information!$C$13="","",IF('N Rec.'!$D$121&lt;9,0,IF(Information!C13="New Alfalfa/Clover",20,""))))))))</f>
        <v/>
      </c>
      <c r="H7" s="121" t="str">
        <f>IF(OR(Information!$C$13="",Information!$G$21=""),"",IF('P Rec.'!C$20&gt;14,'P Rec.'!C$20,IF(AND('P Rec.'!C$20&lt;14,Information!$G$21&lt;20),15,0)))</f>
        <v/>
      </c>
      <c r="I7" s="121" t="str">
        <f>IF(OR(Information!$C$13="",Information!$H$21=""),"",IF('K Rec.'!C$20&gt;14,'K Rec.'!C$20,IF(AND('K Rec.'!C$20&lt;14,Information!$H$21&lt;130),15,0)))</f>
        <v/>
      </c>
      <c r="J7" s="121" t="str">
        <f>IF('Zn Rec.'!C$5&gt;0,'Zn Rec.'!C$5,IF(Information!$C$13="","",IF(AND('Zn Rec.'!C$5=0,Information!$I$21=""),"",IF(AND('Zn Rec.'!$C$5=0,Information!$I$21&gt;0),0,""))))</f>
        <v/>
      </c>
      <c r="K7" s="121" t="str">
        <f>IF('S Rec.'!C$17&gt;0,'S Rec.'!C$17,IF(Information!$C$13="","",IF(AND('S Rec.'!$C$17=0,Information!$K$21=""),"",IF(AND('S Rec.'!$C$17=0,Information!$K$21&gt;0),0,""))))</f>
        <v/>
      </c>
      <c r="L7" s="123" t="str">
        <f>IF('Cl Rec.'!$C$7&gt;0,'Cl Rec.'!$C$7,IF(Information!$C$13="","",IF(AND('Cl Rec.'!C$7=0,Information!$L21=""),"",IF(AND('Cl Rec.'!C$7=0,Information!$L21&gt;0),0,""))))</f>
        <v/>
      </c>
      <c r="M7" s="122" t="str">
        <f>IF('B Rec.'!$C$8&gt;0,'B Rec.'!C$8,IF(Information!$C$13="","",IF(AND('B Rec.'!C$8=0,Information!$M$21=""),"",IF(AND('B Rec.'!$C$8=0,Information!$M$21&gt;0),0,""))))</f>
        <v/>
      </c>
    </row>
    <row r="8" spans="1:13" s="44" customFormat="1" ht="18.95" customHeight="1" x14ac:dyDescent="0.2">
      <c r="A8" s="51"/>
      <c r="B8" s="52"/>
      <c r="C8" s="125"/>
      <c r="D8" s="118" t="str">
        <f>IF(Information!$F$13="","",Information!$F$13)</f>
        <v/>
      </c>
      <c r="E8" s="119" t="str">
        <f>IF(Information!$H$13&gt;0,Information!$H$13,"")</f>
        <v/>
      </c>
      <c r="F8" s="120" t="str">
        <f>IF(OR(Information!$F$13="",Information!$D$21=""),"",IF('Lime Rec.'!$I$33&gt;0,'Lime Rec.'!$I$33,IF('Lime Rec.'!$I$33=0,"0","")))</f>
        <v/>
      </c>
      <c r="G8" s="120" t="str">
        <f>IF(AND(Information!$F$13="Corn",'N Rec.'!$K$121&gt;=230,Information!$I$9="No"),230,IF(AND(Information!$F$13="Corn",'N Rec.'!$K$121&gt;=300,Information!$I$9="Yes"),300,IF(AND(Information!$F$13="Silage-Corn",'N Rec.'!$K$121&gt;=230,Information!$I$9="No"),230,IF(AND(Information!$F$13="Silage-Corn",'N Rec.'!$K$121&gt;=300,Information!$I$9="Yes"),300,IF('N Rec.'!K121&gt;9,'N Rec.'!K$121,IF(Information!$F$13="","",IF('N Rec.'!K121&lt;9,0,IF(Information!F13="New Alfalfa/Clover",20,""))))))))</f>
        <v/>
      </c>
      <c r="H8" s="121" t="str">
        <f>IF(OR(Information!$F$13="",Information!$G$21=""),"",IF('P Rec.'!I$20&gt;14,'P Rec.'!I$20,IF(AND('P Rec.'!I$20&lt;14,Information!$G$21&lt;20),15,0)))</f>
        <v/>
      </c>
      <c r="I8" s="121" t="str">
        <f>IF(OR(Information!$F$13="",Information!$H$21=""),"",IF('K Rec.'!I$20&gt;14,'K Rec.'!I$20,IF(AND('K Rec.'!I$20&lt;14,Information!$H$21&lt;130),15,0)))</f>
        <v/>
      </c>
      <c r="J8" s="121" t="str">
        <f>IF('Zn Rec.'!$I$5&gt;0,'Zn Rec.'!$I$5,IF(Information!$F$13="","",IF(AND('Zn Rec.'!$I$5=0,Information!$I$21=""),"",IF(AND('Zn Rec.'!$I$5=0,Information!$I$21&gt;0),0,""))))</f>
        <v/>
      </c>
      <c r="K8" s="121" t="str">
        <f>IF('S Rec.'!$I$17&gt;0,'S Rec.'!I$17,IF(Information!$F$13="","",IF(AND('S Rec.'!$I$17=0,Information!$K$21=""),"",IF(AND('S Rec.'!$I$17=0,Information!$K$21&gt;0),0,""))))</f>
        <v/>
      </c>
      <c r="L8" s="123" t="str">
        <f>IF('Cl Rec.'!$I$7&gt;0,'Cl Rec.'!$I$7,IF(Information!$F$13="","",IF(AND('Cl Rec.'!$I$7=0,Information!L21=""),"",IF(AND('Cl Rec.'!I$7=0,Information!L21&gt;0),0,""))))</f>
        <v/>
      </c>
      <c r="M8" s="122" t="str">
        <f>IF('B Rec.'!$I$8&gt;0,'B Rec.'!I$8,IF(Information!$F$13="","",IF(AND('B Rec.'!$I$8=0,Information!$M$21=""),"",IF(AND('B Rec.'!$I$8=0,Information!$M$21&gt;0),0,""))))</f>
        <v/>
      </c>
    </row>
    <row r="9" spans="1:13" s="44" customFormat="1" ht="18.95" customHeight="1" x14ac:dyDescent="0.2">
      <c r="A9" s="51"/>
      <c r="B9" s="52"/>
      <c r="C9" s="125"/>
      <c r="D9" s="118" t="str">
        <f>IF(Information!$I$13="","",Information!$I$13)</f>
        <v/>
      </c>
      <c r="E9" s="119" t="str">
        <f>IF(Information!$K$13&gt;0,Information!$K$13,"")</f>
        <v/>
      </c>
      <c r="F9" s="120" t="str">
        <f>IF(OR(Information!$I$13="",Information!$D$21=""),"",IF('Lime Rec.'!$O$33&gt;0,'Lime Rec.'!$O$33,IF('Lime Rec.'!$O$33=0,"0","")))</f>
        <v/>
      </c>
      <c r="G9" s="120" t="str">
        <f>IF(AND(Information!$I$13="Corn",'N Rec.'!$R$121&gt;=230,Information!$I$9="No"),230,IF(AND(Information!$I$13="Corn",'N Rec.'!$R$121&gt;=300,Information!$I$9="Yes"),300,IF(AND(Information!$I$13="Silage-Corn",'N Rec.'!$R$121&gt;=230,Information!$I$9="No"),230,IF(AND(Information!$I$13="Silage-Corn",'N Rec.'!$R$121&gt;=300,Information!$I$9="Yes"),300,IF('N Rec.'!R$121&gt;9,'N Rec.'!R$121,IF(Information!$I$13="","",IF('N Rec.'!$R$121&lt;9,0,IF(Information!I13="New Alfalfa/Clover",20,""))))))))</f>
        <v/>
      </c>
      <c r="H9" s="121" t="str">
        <f>IF(OR(Information!$I$13="",Information!$G$21=""),"",IF('P Rec.'!O$20&gt;14,'P Rec.'!O$20,IF(AND('P Rec.'!O$20&lt;14,Information!$G$21&lt;20),15,0)))</f>
        <v/>
      </c>
      <c r="I9" s="121" t="str">
        <f>IF(OR(Information!$I$13="",Information!$H$21=""),"",IF('K Rec.'!O$20&gt;14,'K Rec.'!O$20,IF(AND('K Rec.'!O$20&lt;14,Information!$H$21&lt;130),15,0)))</f>
        <v/>
      </c>
      <c r="J9" s="121" t="str">
        <f>IF('Zn Rec.'!$O$5&gt;0,'Zn Rec.'!$O$5,IF(Information!$I$13="","",IF(AND('Zn Rec.'!$O$5=0,Information!$I$21=""),"",IF(AND('Zn Rec.'!$O$5=0,Information!$I$21&gt;0),0,""))))</f>
        <v/>
      </c>
      <c r="K9" s="121" t="str">
        <f>IF('S Rec.'!$O$17&gt;0,'S Rec.'!$O$17,IF(Information!$I$13="","",IF(AND('S Rec.'!$O$17=0,Information!$K$21=""),"",IF(AND('S Rec.'!$O$17=0,Information!$K$21&gt;0),0,""))))</f>
        <v/>
      </c>
      <c r="L9" s="123" t="str">
        <f>IF('Cl Rec.'!$O$7&gt;0,'Cl Rec.'!$O$7,IF(Information!$I$13="","",IF(AND('Cl Rec.'!$O$7=0,Information!$L21=""),"",IF(AND('Cl Rec.'!$O$7=0,Information!L21&gt;0),0,""))))</f>
        <v/>
      </c>
      <c r="M9" s="122" t="str">
        <f>IF('B Rec.'!$O$8&gt;0,'B Rec.'!C$8,IF(Information!$I$13="","",IF(AND('B Rec.'!C$8=0,Information!$M$21=""),"",IF(AND('B Rec.'!$O$8=0,Information!$M$21&gt;0),0,""))))</f>
        <v/>
      </c>
    </row>
    <row r="10" spans="1:13" s="44" customFormat="1" ht="18.95" customHeight="1" x14ac:dyDescent="0.2">
      <c r="A10" s="49" t="str">
        <f>IF(Information!A22="","",Information!A22)</f>
        <v/>
      </c>
      <c r="B10" s="50" t="str">
        <f>IF(Information!B22="","",Information!B22)</f>
        <v/>
      </c>
      <c r="C10" s="125" t="str">
        <f>IF(Information!L14="","",Information!L14)</f>
        <v/>
      </c>
      <c r="D10" s="118" t="str">
        <f>IF(Information!$C$14="","",Information!$C$14)</f>
        <v/>
      </c>
      <c r="E10" s="119" t="str">
        <f>IF(Information!$E$14&gt;0,Information!$E$14,"")</f>
        <v/>
      </c>
      <c r="F10" s="120" t="str">
        <f>IF(OR(Information!$C$14="",Information!$D$22=""),"",IF('Lime Rec.'!$D$33&gt;0,'Lime Rec.'!$D$33,IF('Lime Rec.'!$D$33=0,"0","")))</f>
        <v/>
      </c>
      <c r="G10" s="120" t="str">
        <f>IF(AND(Information!$C$14="Corn",'N Rec.'!$E$121&gt;=230,Information!$I$9="No"),230,IF(AND(Information!$C$14="Corn",'N Rec.'!$E$121&gt;=300,Information!$I$9="Yes"),300,IF(AND(Information!$C$14="Silage-Corn",'N Rec.'!$E$121&gt;=230,Information!$I$9="No"),230,IF(AND(Information!$C$14="Silage-Corn",'N Rec.'!$E$121&gt;=300,Information!$I$9="Yes"),300,IF('N Rec.'!E$121&gt;9,'N Rec.'!E$121,IF(Information!$C$14="","",IF('N Rec.'!$E$121&lt;9,0,IF(Information!C14="New Alfalfa/Clover",20,""))))))))</f>
        <v/>
      </c>
      <c r="H10" s="121" t="str">
        <f>IF(OR(Information!$C$14="",Information!$G$22=""),"",IF('P Rec.'!D$20&gt;14,'P Rec.'!D$20,IF(AND('P Rec.'!D$20&lt;14,Information!$G$22&lt;20),15,0)))</f>
        <v/>
      </c>
      <c r="I10" s="121" t="str">
        <f>IF(OR(Information!$C$14="",Information!$H$22=""),"",IF('K Rec.'!D$20&gt;14,'K Rec.'!D$20,IF(AND('K Rec.'!D$20&lt;14,Information!$H$22&lt;130),15,0)))</f>
        <v/>
      </c>
      <c r="J10" s="121" t="str">
        <f>IF('Zn Rec.'!$D$5&gt;0,'Zn Rec.'!$D$5,IF(Information!$C$14="","",IF(AND('Zn Rec.'!$D$5=0,Information!$I22=""),"",IF(AND('Zn Rec.'!$D$5=0,Information!$I$22&gt;0),0,""))))</f>
        <v/>
      </c>
      <c r="K10" s="121" t="str">
        <f>IF('S Rec.'!$D$17&gt;0,'S Rec.'!$D$17,IF(Information!$C$14="","",IF(AND('S Rec.'!$D$17=0,Information!$K$22=""),"",IF(AND('S Rec.'!$D$17=0,Information!$K$22&gt;0),0,""))))</f>
        <v/>
      </c>
      <c r="L10" s="123" t="str">
        <f>IF('Cl Rec.'!$D$7&gt;0,'Cl Rec.'!$D$7,IF(Information!$C$14="","",IF(AND('Cl Rec.'!$D$7=0,Information!$L$22=""),"",IF(AND('Cl Rec.'!$D$7=0,Information!$L$22&gt;0),0,""))))</f>
        <v/>
      </c>
      <c r="M10" s="122" t="str">
        <f>IF('B Rec.'!$D$8&gt;0,'B Rec.'!$D$8,IF(Information!$C$14="","",IF(AND('B Rec.'!$D$8=0,Information!$M$22=""),"",IF(AND('B Rec.'!$D$8=0,Information!$M$22&gt;0),0,""))))</f>
        <v/>
      </c>
    </row>
    <row r="11" spans="1:13" s="44" customFormat="1" ht="18.95" customHeight="1" x14ac:dyDescent="0.2">
      <c r="A11" s="53"/>
      <c r="B11" s="54"/>
      <c r="C11" s="126"/>
      <c r="D11" s="118" t="str">
        <f>IF(Information!$F$14="","",Information!$F$14)</f>
        <v/>
      </c>
      <c r="E11" s="119" t="str">
        <f>IF(Information!$H$14&gt;0,Information!$H$14,"")</f>
        <v/>
      </c>
      <c r="F11" s="120" t="str">
        <f>IF(OR(Information!$F$14="",Information!$D$22=""),"",IF('Lime Rec.'!$J$33&gt;0,'Lime Rec.'!$J$33,IF('Lime Rec.'!$J$33=0,"0","")))</f>
        <v/>
      </c>
      <c r="G11" s="120" t="str">
        <f>IF(AND(Information!$F$14="Corn",'N Rec.'!$L$121&gt;=230,Information!$I$9="No"),230,IF(AND(Information!$F$14="Corn",'N Rec.'!$L$121&gt;=300,Information!$I$9="Yes"),300,IF(AND(Information!$F$14="Silage-Corn",'N Rec.'!$L$121&gt;=230,Information!$I$9="No"),230,IF(AND(Information!$F$14="Silage-Corn",'N Rec.'!$L$121&gt;=300,Information!$I$9="Yes"),300,IF('N Rec.'!L$121&gt;9,'N Rec.'!L$121,IF(Information!$F$14="","",IF('N Rec.'!$L$121&lt;9,0,IF(Information!F14="New Alfalfa/Clover",20,""))))))))</f>
        <v/>
      </c>
      <c r="H11" s="121" t="str">
        <f>IF(OR(Information!$F$14="",Information!$G$22=""),"",IF('P Rec.'!J$20&gt;14,'P Rec.'!J$20,IF(AND('P Rec.'!J$20&lt;14,Information!$G$22&lt;20),15,0)))</f>
        <v/>
      </c>
      <c r="I11" s="121" t="str">
        <f>IF(OR(Information!$F$14="",Information!$H$22=""),"",IF('K Rec.'!J$20&gt;14,'K Rec.'!J$20,IF(AND('K Rec.'!J$20&lt;14,Information!$H$22&lt;130),15,0)))</f>
        <v/>
      </c>
      <c r="J11" s="121" t="str">
        <f>IF('Zn Rec.'!$J$5&gt;0,'Zn Rec.'!$J$5,IF(Information!$F$14="","",IF(AND('Zn Rec.'!$J$5=0,Information!$I22=""),"",IF(AND('Zn Rec.'!$J$5=0,Information!$I$22&gt;0),0,""))))</f>
        <v/>
      </c>
      <c r="K11" s="121" t="str">
        <f>IF('S Rec.'!$J$17&gt;0,'S Rec.'!$J$17,IF(Information!$F$14="","",IF(AND('S Rec.'!$J$17=0,Information!$K$22=""),"",IF(AND('S Rec.'!$J$17=0,Information!$K$22&gt;0),0,""))))</f>
        <v/>
      </c>
      <c r="L11" s="123" t="str">
        <f>IF('Cl Rec.'!$J$7&gt;0,'Cl Rec.'!$J$7,IF(Information!$F$14="","",IF(AND('Cl Rec.'!$J$7=0,Information!$L$22=""),"",IF(AND('Cl Rec.'!$J$7=0,Information!$L$22&gt;0),0,""))))</f>
        <v/>
      </c>
      <c r="M11" s="122" t="str">
        <f>IF('B Rec.'!$J$8&gt;0,'B Rec.'!$J$8,IF(Information!$F$14="","",IF(AND('B Rec.'!$J$8=0,Information!$M$22=""),"",IF(AND('B Rec.'!$J$8=0,Information!$M$22&gt;0),0,""))))</f>
        <v/>
      </c>
    </row>
    <row r="12" spans="1:13" s="44" customFormat="1" ht="18.95" customHeight="1" x14ac:dyDescent="0.2">
      <c r="A12" s="53"/>
      <c r="B12" s="54"/>
      <c r="C12" s="126"/>
      <c r="D12" s="118" t="str">
        <f>IF(Information!$I$14="","",Information!$I$14)</f>
        <v/>
      </c>
      <c r="E12" s="119" t="str">
        <f>IF(Information!$K$14&gt;0,Information!$K$14,"")</f>
        <v/>
      </c>
      <c r="F12" s="120" t="str">
        <f>IF(OR(Information!$I$14="",Information!$D$22=""),"",IF('Lime Rec.'!$P$33&gt;0,'Lime Rec.'!$P$33,IF('Lime Rec.'!$P$33=0,"0","")))</f>
        <v/>
      </c>
      <c r="G12" s="120" t="str">
        <f>IF(AND(Information!$I$14="Corn",'N Rec.'!$S$121&gt;=230,Information!$I$9="No"),230,IF(AND(Information!$I$14="Corn",'N Rec.'!$S$121&gt;=300,Information!$I$9="Yes"),300,IF(AND(Information!$I$14="Silage-Corn",'N Rec.'!$S$121&gt;=230,Information!$I$9="No"),230,IF(AND(Information!$I$14="Silage-Corn",'N Rec.'!$S$121&gt;=300,Information!$I$9="Yes"),300,IF('N Rec.'!S$121&gt;9,'N Rec.'!S$121,IF(Information!$I$14="","",IF('N Rec.'!$S$121&lt;9,0,IF(Information!I14="New Alfalfa/Clover",20,""))))))))</f>
        <v/>
      </c>
      <c r="H12" s="121" t="str">
        <f>IF(OR(Information!$I$14="",Information!$G$22=""),"",IF('P Rec.'!P$20&gt;14,'P Rec.'!P$20,IF(AND('P Rec.'!P$20&lt;14,Information!$G$22&lt;20),15,0)))</f>
        <v/>
      </c>
      <c r="I12" s="121" t="str">
        <f>IF(OR(Information!$I$14="",Information!$H$22=""),"",IF('K Rec.'!P$20&gt;14,'K Rec.'!P$20,IF(AND('K Rec.'!P$20&lt;14,Information!$H$22&lt;130),15,0)))</f>
        <v/>
      </c>
      <c r="J12" s="121" t="str">
        <f>IF('Zn Rec.'!$P$5&gt;0,'Zn Rec.'!$P$5,IF(Information!$I$14="","",IF(AND('Zn Rec.'!$P$5=0,Information!$I22=""),"",IF(AND('Zn Rec.'!$P$5=0,Information!$I$22&gt;0),0,""))))</f>
        <v/>
      </c>
      <c r="K12" s="121" t="str">
        <f>IF('S Rec.'!$P$17&gt;0,'S Rec.'!$P$17,IF(Information!$I$14="","",IF(AND('S Rec.'!$P$17=0,Information!$K$22=""),"",IF(AND('S Rec.'!$P$17=0,Information!$K$22&gt;0),0,""))))</f>
        <v/>
      </c>
      <c r="L12" s="123" t="str">
        <f>IF('Cl Rec.'!$P$7&gt;0,'Cl Rec.'!$P$7,IF(Information!$I$14="","",IF(AND('Cl Rec.'!$P$7=0,Information!$L$22=""),"",IF(AND('Cl Rec.'!$P$7=0,Information!$L$22&gt;0),0,""))))</f>
        <v/>
      </c>
      <c r="M12" s="122" t="str">
        <f>IF('B Rec.'!$P$8&gt;0,'B Rec.'!$P$8,IF(Information!$I$14="","",IF(AND('B Rec.'!$P$8=0,Information!$M$22=""),"",IF(AND('B Rec.'!$P$8=0,Information!$M$22&gt;0),0,""))))</f>
        <v/>
      </c>
    </row>
    <row r="13" spans="1:13" s="44" customFormat="1" ht="18.95" customHeight="1" x14ac:dyDescent="0.2">
      <c r="A13" s="49" t="str">
        <f>IF(Information!A23="","",Information!A23)</f>
        <v/>
      </c>
      <c r="B13" s="50" t="str">
        <f>IF(Information!B23="","",Information!B23)</f>
        <v/>
      </c>
      <c r="C13" s="126" t="str">
        <f>IF(Information!L15="","",Information!L15)</f>
        <v/>
      </c>
      <c r="D13" s="125" t="str">
        <f>IF(Information!$C$15="","",Information!$C$15)</f>
        <v/>
      </c>
      <c r="E13" s="123" t="str">
        <f>IF(Information!$E$15&gt;0,Information!$E$15,"")</f>
        <v/>
      </c>
      <c r="F13" s="120" t="str">
        <f>IF(OR(Information!$C$15="",Information!$D$23=""),"",IF('Lime Rec.'!$E$33&gt;0,'Lime Rec.'!$E$33,IF('Lime Rec.'!$E$33=0,"0","")))</f>
        <v/>
      </c>
      <c r="G13" s="120" t="str">
        <f>IF(AND(Information!$C$15="Corn",'N Rec.'!$F$121&gt;=230,Information!$I$9="No"),230,IF(AND(Information!$C$15="Corn",'N Rec.'!$F$121&gt;=300,Information!$I$9="Yes"),300,IF(AND(Information!$C$15="Silage-Corn",'N Rec.'!$F$121&gt;=230,Information!$I$9="No"),230,IF(AND(Information!$C$15="Silage-Corn",'N Rec.'!$F$121&gt;=300,Information!$I$9="Yes"),300,IF('N Rec.'!F$121&gt;9,'N Rec.'!F$121,IF(Information!$C$15="","",IF('N Rec.'!$F$121&lt;9,0,IF(Information!C15="New Alfalfa/Clover",20,""))))))))</f>
        <v/>
      </c>
      <c r="H13" s="121" t="str">
        <f>IF(OR(Information!$C$15="",Information!$G$23=""),"",IF('P Rec.'!E$20&gt;14,'P Rec.'!E$20,IF(AND('P Rec.'!E$20&lt;14,Information!$G$23&lt;20),15,0)))</f>
        <v/>
      </c>
      <c r="I13" s="121" t="str">
        <f>IF(OR(Information!$C$15="",Information!$H$23=""),"",IF('K Rec.'!E$20&gt;14,'K Rec.'!E$20,IF(AND('K Rec.'!E$20&lt;14,Information!$H$23&lt;130),15,0)))</f>
        <v/>
      </c>
      <c r="J13" s="123" t="str">
        <f>IF('Zn Rec.'!$E$5&gt;0,'Zn Rec.'!$E$5,IF(Information!$C$15="","",IF(AND('Zn Rec.'!$E$5=0,Information!$I$23=""),"",IF(AND('Zn Rec.'!$E$5=0,Information!$I$23&gt;0),0,""))))</f>
        <v/>
      </c>
      <c r="K13" s="123" t="str">
        <f>IF('S Rec.'!$E$17&gt;0,'S Rec.'!$E$17,IF(Information!$C$15="","",IF(AND('S Rec.'!$E$17=0,Information!$K$23=""),"",IF(AND('S Rec.'!$E$17=0,Information!$K$23&gt;0),0,""))))</f>
        <v/>
      </c>
      <c r="L13" s="123" t="str">
        <f>IF('Cl Rec.'!$E$7&gt;0,'Cl Rec.'!$E$7,IF(Information!$C$15="","",IF(AND('Cl Rec.'!$E$7=0,Information!$L$23=""),"",IF(AND('Cl Rec.'!$E$7=0,Information!$L$23&gt;0),0,""))))</f>
        <v/>
      </c>
      <c r="M13" s="124" t="str">
        <f>IF('B Rec.'!$E$8&gt;0,'B Rec.'!$E$8,IF(Information!$C$15="","",IF(AND('B Rec.'!$E$8=0,Information!$M$23=""),"",IF(AND('B Rec.'!$E$8=0,Information!$M$23&gt;0),0,""))))</f>
        <v/>
      </c>
    </row>
    <row r="14" spans="1:13" s="44" customFormat="1" ht="18.95" customHeight="1" x14ac:dyDescent="0.2">
      <c r="A14" s="55"/>
      <c r="B14" s="56"/>
      <c r="C14" s="123"/>
      <c r="D14" s="125" t="str">
        <f>IF(Information!$F$15="","",Information!$F$15)</f>
        <v/>
      </c>
      <c r="E14" s="123" t="str">
        <f>IF(Information!$H$15&gt;0,Information!$H$15,"")</f>
        <v/>
      </c>
      <c r="F14" s="120" t="str">
        <f>IF(OR(Information!$F$15="",Information!$D$23=""),"",IF('Lime Rec.'!$K$33&gt;0,'Lime Rec.'!$K$33,IF('Lime Rec.'!$K$33=0,"0","")))</f>
        <v/>
      </c>
      <c r="G14" s="120" t="str">
        <f>IF(AND(Information!$F$15="Corn",'N Rec.'!$M$121&gt;=230,Information!$I$9="No"),230,IF(AND(Information!$F$15="Corn",'N Rec.'!$M$121&gt;=300,Information!$I$9="Yes"),300,IF(AND(Information!$F$15="Silage-Corn",'N Rec.'!$M$121&gt;=230,Information!$I$9="No"),230,IF(AND(Information!$F$15="Silage-Corn",'N Rec.'!$M$121&gt;=300,Information!$I$9="Yes"),300,IF('N Rec.'!M$121&gt;9,'N Rec.'!M$121,IF(Information!$F$15="","",IF('N Rec.'!$M$121&lt;9,0,IF(Information!F15="New Alfalfa/Clover",20,""))))))))</f>
        <v/>
      </c>
      <c r="H14" s="121" t="str">
        <f>IF(OR(Information!$F$15="",Information!$G$23=""),"",IF('P Rec.'!K$20&gt;14,'P Rec.'!K$20,IF(AND('P Rec.'!K$20&lt;14,Information!$G$23&lt;20),15,0)))</f>
        <v/>
      </c>
      <c r="I14" s="121" t="str">
        <f>IF(OR(Information!$F$15="",Information!$H$23=""),"",IF('K Rec.'!K$20&gt;14,'K Rec.'!K$20,IF(AND('K Rec.'!K$20&lt;14,Information!$H$23&lt;130),15,0)))</f>
        <v/>
      </c>
      <c r="J14" s="123" t="str">
        <f>IF('Zn Rec.'!$K$5&gt;0,'Zn Rec.'!$K$5,IF(Information!$F$15="","",IF(AND('Zn Rec.'!$K$5=0,Information!$I$23=""),"",IF(AND('Zn Rec.'!$K$5=0,Information!$I$23&gt;0),0,""))))</f>
        <v/>
      </c>
      <c r="K14" s="123" t="str">
        <f>IF('S Rec.'!$K$17&gt;0,'S Rec.'!$K$17,IF(Information!$F$15="","",IF(AND('S Rec.'!$K$17=0,Information!$K$23=""),"",IF(AND('S Rec.'!$K$17=0,Information!$K$23&gt;0),0,""))))</f>
        <v/>
      </c>
      <c r="L14" s="123" t="str">
        <f>IF('Cl Rec.'!$K$7&gt;0,'Cl Rec.'!$K$7,IF(Information!$F$15="","",IF(AND('Cl Rec.'!$K$7=0,Information!$L$23=""),"",IF(AND('Cl Rec.'!$K$7=0,Information!$L$23&gt;0),0,""))))</f>
        <v/>
      </c>
      <c r="M14" s="124" t="str">
        <f>IF('B Rec.'!$K$8&gt;0,'B Rec.'!$K$8,IF(Information!$F$15="","",IF(AND('B Rec.'!$K$8=0,Information!$M$23=""),"",IF(AND('B Rec.'!$K$8=0,Information!$M$23&gt;0),0,""))))</f>
        <v/>
      </c>
    </row>
    <row r="15" spans="1:13" s="44" customFormat="1" ht="18.95" customHeight="1" thickBot="1" x14ac:dyDescent="0.25">
      <c r="A15" s="57"/>
      <c r="B15" s="58"/>
      <c r="C15" s="127"/>
      <c r="D15" s="128" t="str">
        <f>IF(Information!$I$15="","",Information!$I$15)</f>
        <v/>
      </c>
      <c r="E15" s="127" t="str">
        <f>IF(Information!$K$15&gt;0,Information!$K$15,"")</f>
        <v/>
      </c>
      <c r="F15" s="129" t="str">
        <f>IF(OR(Information!$I$15="",Information!$D$23=""),"",IF('Lime Rec.'!$Q$33&gt;0,'Lime Rec.'!$Q$33,IF('Lime Rec.'!$Q$33=0,"0","")))</f>
        <v/>
      </c>
      <c r="G15" s="130" t="str">
        <f>IF(AND(Information!$I$15="Corn",'N Rec.'!$T$121&gt;=230,Information!$I$9="No"),230,IF(AND(Information!$I$15="Corn",'N Rec.'!$T$121&gt;=300,Information!$I$9="Yes"),300,IF(AND(Information!$I$15="Silage-Corn",'N Rec.'!$T$121&gt;=230,Information!$I$9="No"),230,IF(AND(Information!$I$15="Silage-Corn",'N Rec.'!$T$121&gt;=300,Information!$I$9="Yes"),300,IF('N Rec.'!T$121&gt;9,'N Rec.'!T$121,IF(Information!$I$15="","",IF('N Rec.'!$T$121&lt;9,0,IF(Information!I15="New Alfalfa/Clover",20,""))))))))</f>
        <v/>
      </c>
      <c r="H15" s="164" t="str">
        <f>IF(OR(Information!$I$15="",Information!$G$23=""),"",IF('P Rec.'!Q$20&gt;14,'P Rec.'!Q$20,IF(AND('P Rec.'!Q$20&lt;14,Information!$G$23&lt;20),15,0)))</f>
        <v/>
      </c>
      <c r="I15" s="127" t="str">
        <f>IF(OR(Information!$I$15="",Information!$H$23=""),"",IF('K Rec.'!Q$20&gt;14,'K Rec.'!Q$20,IF(AND('K Rec.'!Q$20&lt;14,Information!$H$23&lt;130),15,0)))</f>
        <v/>
      </c>
      <c r="J15" s="127" t="str">
        <f>IF('Zn Rec.'!$Q$5&gt;0,'Zn Rec.'!$Q$5,IF(Information!$I$15="","",IF(AND('Zn Rec.'!$Q$5=0,Information!$I$23=""),"",IF(AND('Zn Rec.'!$Q$5=0,Information!$I$23&gt;0),0,""))))</f>
        <v/>
      </c>
      <c r="K15" s="127" t="str">
        <f>IF('S Rec.'!$Q$17&gt;0,'S Rec.'!$Q$17,IF(Information!$I$15="","",IF(AND('S Rec.'!$Q$17=0,Information!$K$23=""),"",IF(AND('S Rec.'!$Q$17=0,Information!$K$23&gt;0),0,""))))</f>
        <v/>
      </c>
      <c r="L15" s="127" t="str">
        <f>IF('Cl Rec.'!$K$7&gt;0,'Cl Rec.'!$K$7,IF(Information!$I$15="","",IF(AND('Cl Rec.'!$K$7=0,Information!$L$23=""),"",IF(AND('Cl Rec.'!$K$7=0,Information!$L$23&gt;0),0,""))))</f>
        <v/>
      </c>
      <c r="M15" s="131" t="str">
        <f>IF('B Rec.'!$K$8&gt;0,'B Rec.'!$K$8,IF(Information!$I$15="","",IF(AND('B Rec.'!$K$8=0,Information!$M$23=""),"",IF(AND('B Rec.'!$K$8=0,Information!$M$23&gt;0),0,""))))</f>
        <v/>
      </c>
    </row>
    <row r="16" spans="1:13" x14ac:dyDescent="0.2">
      <c r="A16" s="86" t="s">
        <v>84</v>
      </c>
    </row>
    <row r="17" spans="1:13" x14ac:dyDescent="0.2">
      <c r="A17" s="116" t="str">
        <f>IF(B4="","","Sample 1:")</f>
        <v/>
      </c>
      <c r="B17" s="231" t="str">
        <f>IF(AND(G4&lt;40,OR(D4="Corn",D4="Grain Sorghum",D4="Corn Silage",D4="Sorghum Silage")),"A minimum fertilizer application of 40 lb N/A may be appropriate for early crop growth and development.",IF(AND(G4&lt;30,OR(D4="Wheat",D4="Oats",D4="Sunflower")),"A minimum fertilizer application of 30 lb N/A may be appropriate for early crop growth and development.",""))</f>
        <v/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</row>
    <row r="18" spans="1:13" ht="23.25" customHeight="1" x14ac:dyDescent="0.2">
      <c r="A18" s="229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</row>
    <row r="19" spans="1:13" s="87" customFormat="1" ht="23.25" customHeight="1" x14ac:dyDescent="0.2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</row>
    <row r="20" spans="1:13" x14ac:dyDescent="0.2">
      <c r="A20" s="116" t="str">
        <f>IF(B7="","","Sample 2:")</f>
        <v/>
      </c>
      <c r="B20" s="231" t="str">
        <f>IF(AND(G7&lt;40,OR(D7="Corn",D7="Grain Sorghum",D7="Corn Silage",D7="Sorghum Silage")),"A minimum fertilizer application of 40 lb N/A may be appropriate for early crop growth and development.",IF(AND(G7&lt;30,OR(D7="Wheat",D7="Oats",D7="Sunflower")),"A minimum fertilizer application of 30 lb N/A may be appropriate for early crop growth and development.",""))</f>
        <v/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</row>
    <row r="21" spans="1:13" s="88" customFormat="1" ht="23.25" customHeight="1" x14ac:dyDescent="0.2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</row>
    <row r="22" spans="1:13" s="88" customFormat="1" ht="23.25" customHeight="1" x14ac:dyDescent="0.2">
      <c r="A22" s="230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</row>
    <row r="23" spans="1:13" x14ac:dyDescent="0.2">
      <c r="A23" s="116" t="str">
        <f>IF(B10="","","Sample 3:")</f>
        <v/>
      </c>
      <c r="B23" s="231" t="str">
        <f>IF(AND(G10&lt;40,OR(D10="Corn",D10="Grain Sorghum",D10="Corn Silage",D10="Sorghum Silage")),"A minimum fertilizer application of 40 lb N/A may be appropriate for early crop growth and development.",IF(AND(G10&lt;30,OR(D10="Wheat",D10="Oats",D10="Sunflower")),"A minimum fertilizer application of 30 lb N/A may be appropriate for early crop growth and development.",""))</f>
        <v/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</row>
    <row r="24" spans="1:13" s="88" customFormat="1" ht="23.25" customHeight="1" x14ac:dyDescent="0.2">
      <c r="A24" s="230"/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</row>
    <row r="25" spans="1:13" s="88" customFormat="1" ht="23.25" customHeight="1" x14ac:dyDescent="0.2">
      <c r="A25" s="230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</row>
    <row r="26" spans="1:13" x14ac:dyDescent="0.2">
      <c r="A26" s="116" t="str">
        <f>IF(B13="","","Sample4:")</f>
        <v/>
      </c>
      <c r="B26" s="231" t="str">
        <f>IF(AND(G13&lt;40,OR(D13="Corn",D13="Grain Sorghum",D13="Corn Silage",D13="Sorghum Silage")),"A minimum fertilizer application of 40 lb N/A may be appropriate for early crop growth and development.",IF(AND(G13&lt;30,OR(D13="Wheat",D13="Oats",D13="Sunflower")),"A minimum fertilizer application of 30 lb N/A may be appropriate for early crop growth and development.",""))</f>
        <v/>
      </c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</row>
    <row r="27" spans="1:13" s="88" customFormat="1" ht="23.25" customHeight="1" x14ac:dyDescent="0.2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</row>
    <row r="28" spans="1:13" s="88" customFormat="1" ht="23.25" customHeight="1" x14ac:dyDescent="0.2">
      <c r="A28" s="230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</row>
  </sheetData>
  <sheetProtection algorithmName="SHA-512" hashValue="gjeQ98OhAmvIuT7tlLT3M4mQrR0e7MqyFZmnrbQkBcvtaahHpovF1Lj7qzmvGV2WI3OQRY+UqhrL48xquanzRA==" saltValue="B51rJviMIDDR6BlXOTwfeA==" spinCount="100000" sheet="1" objects="1" scenarios="1"/>
  <mergeCells count="22">
    <mergeCell ref="B17:M17"/>
    <mergeCell ref="G2:G3"/>
    <mergeCell ref="K2:K3"/>
    <mergeCell ref="J2:J3"/>
    <mergeCell ref="H2:H3"/>
    <mergeCell ref="I2:I3"/>
    <mergeCell ref="F1:M1"/>
    <mergeCell ref="M2:M3"/>
    <mergeCell ref="A2:A3"/>
    <mergeCell ref="B2:B3"/>
    <mergeCell ref="C2:C3"/>
    <mergeCell ref="D2:D3"/>
    <mergeCell ref="E2:E3"/>
    <mergeCell ref="F2:F3"/>
    <mergeCell ref="L2:L3"/>
    <mergeCell ref="A18:M19"/>
    <mergeCell ref="A21:M22"/>
    <mergeCell ref="B26:M26"/>
    <mergeCell ref="A24:M25"/>
    <mergeCell ref="A27:M28"/>
    <mergeCell ref="B20:M20"/>
    <mergeCell ref="B23:M23"/>
  </mergeCells>
  <phoneticPr fontId="4" type="noConversion"/>
  <pageMargins left="0.25" right="0.25" top="1" bottom="0.25" header="0.5" footer="0.5"/>
  <pageSetup scale="91" orientation="landscape" horizontalDpi="4294967294" r:id="rId1"/>
  <headerFooter alignWithMargins="0">
    <oddHeader>&amp;L&amp;G&amp;C&amp;"Arial,Bold"&amp;16FERTILIZER RECOMMENDATIONS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tabColor indexed="57"/>
    <pageSetUpPr fitToPage="1"/>
  </sheetPr>
  <dimension ref="A1:M28"/>
  <sheetViews>
    <sheetView zoomScale="80" zoomScaleNormal="80" workbookViewId="0">
      <selection activeCell="Q14" sqref="Q14"/>
    </sheetView>
  </sheetViews>
  <sheetFormatPr defaultRowHeight="12.75" x14ac:dyDescent="0.2"/>
  <cols>
    <col min="1" max="1" width="9.7109375" customWidth="1"/>
    <col min="2" max="2" width="11.5703125" customWidth="1"/>
    <col min="3" max="3" width="19.140625" customWidth="1"/>
    <col min="4" max="4" width="17.85546875" customWidth="1"/>
    <col min="5" max="7" width="11" customWidth="1"/>
    <col min="8" max="9" width="11.7109375" customWidth="1"/>
    <col min="10" max="11" width="8.28515625" customWidth="1"/>
    <col min="12" max="12" width="9.42578125" customWidth="1"/>
    <col min="13" max="13" width="8.28515625" customWidth="1"/>
  </cols>
  <sheetData>
    <row r="1" spans="1:13" ht="21" thickBot="1" x14ac:dyDescent="0.35">
      <c r="E1" s="114"/>
      <c r="F1" s="232" t="s">
        <v>85</v>
      </c>
      <c r="G1" s="233"/>
      <c r="H1" s="233"/>
      <c r="I1" s="233"/>
      <c r="J1" s="233"/>
      <c r="K1" s="233"/>
      <c r="L1" s="233"/>
      <c r="M1" s="234"/>
    </row>
    <row r="2" spans="1:13" s="44" customFormat="1" ht="18.75" customHeight="1" x14ac:dyDescent="0.2">
      <c r="A2" s="224" t="s">
        <v>13</v>
      </c>
      <c r="B2" s="235" t="s">
        <v>11</v>
      </c>
      <c r="C2" s="238" t="s">
        <v>8</v>
      </c>
      <c r="D2" s="224" t="s">
        <v>4</v>
      </c>
      <c r="E2" s="224" t="s">
        <v>21</v>
      </c>
      <c r="F2" s="240" t="s">
        <v>23</v>
      </c>
      <c r="G2" s="224" t="s">
        <v>24</v>
      </c>
      <c r="H2" s="242" t="s">
        <v>303</v>
      </c>
      <c r="I2" s="224" t="s">
        <v>304</v>
      </c>
      <c r="J2" s="224" t="s">
        <v>25</v>
      </c>
      <c r="K2" s="224" t="s">
        <v>26</v>
      </c>
      <c r="L2" s="240" t="s">
        <v>27</v>
      </c>
      <c r="M2" s="235" t="s">
        <v>79</v>
      </c>
    </row>
    <row r="3" spans="1:13" s="44" customFormat="1" ht="18.95" customHeight="1" thickBot="1" x14ac:dyDescent="0.25">
      <c r="A3" s="237"/>
      <c r="B3" s="236"/>
      <c r="C3" s="239"/>
      <c r="D3" s="237"/>
      <c r="E3" s="237"/>
      <c r="F3" s="241"/>
      <c r="G3" s="237"/>
      <c r="H3" s="243"/>
      <c r="I3" s="237"/>
      <c r="J3" s="237"/>
      <c r="K3" s="237"/>
      <c r="L3" s="241"/>
      <c r="M3" s="236"/>
    </row>
    <row r="4" spans="1:13" s="44" customFormat="1" ht="18.95" customHeight="1" x14ac:dyDescent="0.2">
      <c r="A4" s="45" t="str">
        <f>IF(Information!A20="","",Information!A20)</f>
        <v/>
      </c>
      <c r="B4" s="46" t="str">
        <f>IF(Information!B20="","",Information!B20)</f>
        <v/>
      </c>
      <c r="C4" s="117" t="str">
        <f>IF(Information!$L$12="","",Information!$L$12)</f>
        <v/>
      </c>
      <c r="D4" s="118" t="str">
        <f>IF(Information!C12="","",Information!C12)</f>
        <v/>
      </c>
      <c r="E4" s="119" t="str">
        <f>IF(Information!E12&gt;0,Information!E12,"")</f>
        <v/>
      </c>
      <c r="F4" s="120" t="str">
        <f>IF(OR(Information!$C$12="",Information!$D$20=""),"",IF('Lime Rec.'!$B$33&gt;0,'Lime Rec.'!$B$33,IF('Lime Rec.'!$B$33=0,"","")))</f>
        <v/>
      </c>
      <c r="G4" s="120" t="str">
        <f>IF(AND(Information!$C$12="Corn",'N Rec.'!$C$121&gt;=230,Information!$I$9="No"),230,IF(AND(Information!$C$12="Corn",'N Rec.'!$C$121&gt;=300,Information!$I$9="Yes"),300,IF(AND(Information!$C$12="Silage-Corn",'N Rec.'!$C$121&gt;=230,Information!$I$9="No"),230,IF(AND(Information!$C$12="Silage-Corn",'N Rec.'!$C$121&gt;=300,Information!$I$9="Yes"),300,IF('N Rec.'!$C$121&gt;9,'N Rec.'!$C$121,IF(Information!$C$12="","",IF('N Rec.'!$C$121&lt;9,0,IF(Information!$C$12="New Alfalfa/Clover",20,""))))))))</f>
        <v/>
      </c>
      <c r="H4" s="121" t="str">
        <f>IF('P Rec. Build'!$B$20&gt;14,'P Rec. Build'!$B$20,IF(Information!$C12="","",IF('P Rec. Build'!$B$20&lt;14,0,"")))</f>
        <v/>
      </c>
      <c r="I4" s="121" t="str">
        <f>IF('K Rec. Build'!$B$20&gt;14,'K Rec. Build'!$B$20,IF(Information!$C12="","",IF('K Rec. Build'!$B$20&lt;14,0,"")))</f>
        <v/>
      </c>
      <c r="J4" s="121" t="str">
        <f>IF('Zn Rec.'!B$5&gt;0,'Zn Rec.'!B$5,IF(Information!$C12="","",IF(AND('Zn Rec.'!B$5=0,Information!I20=""),"",IF(AND('Zn Rec.'!B$5=0,Information!I20&gt;0),0,""))))</f>
        <v/>
      </c>
      <c r="K4" s="121" t="str">
        <f>IF('S Rec.'!B$17&gt;0,'S Rec.'!B$17,IF(Information!$C12="","",IF(AND('S Rec.'!B$17=0,Information!K20=""),"",IF(AND('S Rec.'!B$17=0,Information!K20&gt;0),0,""))))</f>
        <v/>
      </c>
      <c r="L4" s="119" t="str">
        <f>IF('Cl Rec.'!B$7&gt;0,'Cl Rec.'!B$7,IF(Information!$C12="","",IF(AND('Cl Rec.'!B$7=0,Information!L20=""),"",IF(AND('Cl Rec.'!B$7=0,Information!L20&gt;0),0,""))))</f>
        <v/>
      </c>
      <c r="M4" s="122" t="str">
        <f>IF('B Rec.'!B$8&gt;0,'B Rec.'!B$8,IF(Information!$C12="","",IF(AND('B Rec.'!B$8=0,Information!$M$20=""),"",IF(AND('B Rec.'!B$8=0,Information!$M$20&gt;0),0,""))))</f>
        <v/>
      </c>
    </row>
    <row r="5" spans="1:13" s="44" customFormat="1" ht="18.95" customHeight="1" x14ac:dyDescent="0.2">
      <c r="A5" s="47"/>
      <c r="B5" s="48"/>
      <c r="C5" s="117"/>
      <c r="D5" s="118" t="str">
        <f>IF(Information!F12="","",Information!F12)</f>
        <v/>
      </c>
      <c r="E5" s="119" t="str">
        <f>IF(Information!H12&gt;0,Information!H12,"")</f>
        <v/>
      </c>
      <c r="F5" s="120" t="str">
        <f>IF(OR(Information!$F$12="",Information!$D$20=""),"",IF('Lime Rec.'!$H$33&gt;0,'Lime Rec.'!$H$33,IF('Lime Rec.'!$H$33=0,"","")))</f>
        <v/>
      </c>
      <c r="G5" s="120" t="str">
        <f>IF(AND(Information!$F$12="Corn",'N Rec.'!$J$121&gt;=230,Information!$I$9="No"),230,IF(AND(Information!$F$12="Corn",'N Rec.'!$J$121&gt;=300,Information!$I$9="Yes"),300,IF(AND(Information!$F$12="Silage-Corn",'N Rec.'!$J$121&gt;=230,Information!$I$9="No"),230,IF(AND(Information!$F$12="Silage-Corn",'N Rec.'!$J$121&gt;=300,Information!$I$9="Yes"),300,IF('N Rec.'!J121&gt;9,'N Rec.'!J$121,IF(Information!$F$12="","",IF('N Rec.'!J121&lt;9,0,IF(Information!F12="New Alfalfa/Clover",20,""))))))))</f>
        <v/>
      </c>
      <c r="H5" s="121" t="str">
        <f>IF('P Rec. Build'!$C$20&gt;14,'P Rec. Build'!$C$20,IF(Information!F12="","",IF('P Rec. Build'!$C$20&lt;14,0,"")))</f>
        <v/>
      </c>
      <c r="I5" s="121" t="str">
        <f>IF('K Rec. Build'!$C$20&gt;14,'K Rec. Build'!$C$20,IF(Information!$F12="","",IF('K Rec. Build'!$C$20&lt;14,0,"")))</f>
        <v/>
      </c>
      <c r="J5" s="121" t="str">
        <f>IF('Zn Rec.'!H$5&gt;0,'Zn Rec.'!H$5,IF(Information!$F12="","",IF(AND('Zn Rec.'!H$5=0,Information!I20=""),"",IF(AND('Zn Rec.'!H$5=0,Information!I20&gt;0),0,""))))</f>
        <v/>
      </c>
      <c r="K5" s="121" t="str">
        <f>IF('S Rec.'!H$17&gt;0,'S Rec.'!H$17,IF(Information!$F12="","",IF(AND('S Rec.'!H$17=0,Information!K20=""),"",IF(AND('S Rec.'!H$17=0,Information!K20&gt;0),0,""))))</f>
        <v/>
      </c>
      <c r="L5" s="123" t="str">
        <f>IF('Cl Rec.'!H$7&gt;0,'Cl Rec.'!H$7,IF(Information!$F12="","",IF(AND('Cl Rec.'!H$7=0,Information!L20=""),"",IF(AND('Cl Rec.'!H$7=0,Information!L20&gt;0),0,""))))</f>
        <v/>
      </c>
      <c r="M5" s="124" t="str">
        <f>IF('B Rec.'!H$8&gt;0,'B Rec.'!H$8,IF(Information!$F12="","",IF(AND('B Rec.'!H$8=0,Information!$M$20=""),"",IF(AND('B Rec.'!H$8=0,Information!$M$20&gt;0),0,""))))</f>
        <v/>
      </c>
    </row>
    <row r="6" spans="1:13" s="44" customFormat="1" ht="18.95" customHeight="1" x14ac:dyDescent="0.2">
      <c r="A6" s="47"/>
      <c r="B6" s="48"/>
      <c r="C6" s="117"/>
      <c r="D6" s="118" t="str">
        <f>IF(Information!I12="","",Information!I12)</f>
        <v/>
      </c>
      <c r="E6" s="119" t="str">
        <f>IF(Information!K12&gt;0,Information!K12,"")</f>
        <v/>
      </c>
      <c r="F6" s="120" t="str">
        <f>IF(OR(Information!$I$12="",Information!$D$20=""),"",IF('Lime Rec.'!$N$33&gt;0,'Lime Rec.'!$N$33,IF('Lime Rec.'!$N$33=0,"","")))</f>
        <v/>
      </c>
      <c r="G6" s="120" t="str">
        <f>IF(AND(Information!$I$12="Corn",'N Rec.'!$Q$121&gt;=230,Information!$I$9="No"),230,IF(AND(Information!$I$12="Corn",'N Rec.'!$Q$121&gt;=300,Information!$I$9="Yes"),300,IF(AND(Information!$I$12="Silage-Corn",'N Rec.'!$Q$121&gt;=230,Information!$I$9="No"),230,IF(AND(Information!$I$12="Silage-Corn",'N Rec.'!$Q$121&gt;=300,Information!$I$9="Yes"),300,IF('N Rec.'!Q$121&gt;9,'N Rec.'!Q$121,IF(Information!$I$12="","",IF('N Rec.'!$Q$121&lt;9,0,IF(Information!I12="New Alfalfa/Clover",20,""))))))))</f>
        <v/>
      </c>
      <c r="H6" s="121" t="str">
        <f>IF('P Rec. Build'!$D$20&gt;14,'P Rec. Build'!$D$20,IF(Information!$I12="","",IF('P Rec. Build'!$D$20&lt;14,0,"")))</f>
        <v/>
      </c>
      <c r="I6" s="121" t="str">
        <f>IF('K Rec. Build'!$D$20&gt;14,'K Rec. Build'!$D$20,IF(Information!$I12="","",IF('K Rec. Build'!$D$20&lt;14,0,"")))</f>
        <v/>
      </c>
      <c r="J6" s="121" t="str">
        <f>IF('Zn Rec.'!N$5&gt;0,'Zn Rec.'!N$5,IF(Information!$I12="","",IF(AND('Zn Rec.'!N$5=0,Information!I20=""),"",IF(AND('Zn Rec.'!N$5=0,Information!I20&gt;0),0,""))))</f>
        <v/>
      </c>
      <c r="K6" s="121" t="str">
        <f>IF('S Rec.'!N$17&gt;0,'S Rec.'!N$17,IF(Information!$I12="","",IF(AND('S Rec.'!N$17=0,Information!K20=""),"",IF(AND('S Rec.'!N$17=0,Information!K20&gt;0),0,""))))</f>
        <v/>
      </c>
      <c r="L6" s="123" t="str">
        <f>IF('Cl Rec.'!N$7&gt;0,'Cl Rec.'!N$7,IF(Information!$I12="","",IF(AND('Cl Rec.'!N$7=0,Information!L20=""),"",IF(AND('Cl Rec.'!N$7=0,Information!L20&gt;0),0,""))))</f>
        <v/>
      </c>
      <c r="M6" s="124" t="str">
        <f>IF('B Rec.'!N$8&gt;0,'B Rec.'!N$8,IF(Information!$I12="","",IF(AND('B Rec.'!N$8=0,Information!$M$20=""),"",IF(AND('B Rec.'!N$8=0,Information!$M$20&gt;0),0,""))))</f>
        <v/>
      </c>
    </row>
    <row r="7" spans="1:13" s="44" customFormat="1" ht="18.95" customHeight="1" x14ac:dyDescent="0.2">
      <c r="A7" s="49" t="str">
        <f>IF(Information!A21="","",Information!A21)</f>
        <v/>
      </c>
      <c r="B7" s="50" t="str">
        <f>IF(Information!B21="","",Information!B21)</f>
        <v/>
      </c>
      <c r="C7" s="125" t="str">
        <f>IF(Information!L13="","",Information!L13)</f>
        <v/>
      </c>
      <c r="D7" s="118" t="str">
        <f>IF(Information!$C$13="","",Information!$C$13)</f>
        <v/>
      </c>
      <c r="E7" s="119" t="str">
        <f>IF(Information!$E$13&gt;0,Information!$E$13,"")</f>
        <v/>
      </c>
      <c r="F7" s="120" t="str">
        <f>IF(OR(Information!$C$13="",Information!$D$21=""),"",IF('Lime Rec.'!$C$33&gt;0,'Lime Rec.'!$C$33,IF('Lime Rec.'!$C$33=0,"","")))</f>
        <v/>
      </c>
      <c r="G7" s="120" t="str">
        <f>IF(AND(Information!$C$13="Corn",'N Rec.'!$D$121&gt;=230,Information!$I$9="No"),230,IF(AND(Information!$C$13="Corn",'N Rec.'!$D$121&gt;=300,Information!$I$9="Yes"),300,IF(AND(Information!$C$13="Silage-Corn",'N Rec.'!$D$121&gt;=230,Information!$I$9="No"),230,IF(AND(Information!$C$13="Silage-Corn",'N Rec.'!$D$121&gt;=300,Information!$I$9="Yes"),300,IF('N Rec.'!D$121&gt;9,'N Rec.'!D$121,IF(Information!$C$13="","",IF('N Rec.'!$D$121&lt;9,0,IF(Information!C13="New Alfalfa/Clover",20,""))))))))</f>
        <v/>
      </c>
      <c r="H7" s="121" t="str">
        <f>IF('P Rec. Build'!$H$20&gt;14,'P Rec. Build'!$H$20,IF(Information!$C13="","",IF('P Rec. Build'!$H$20&lt;14,0,"")))</f>
        <v/>
      </c>
      <c r="I7" s="121" t="str">
        <f>IF('K Rec. Build'!$H$20&gt;14,'K Rec. Build'!$H$20,IF(Information!$C13="","",IF('K Rec. Build'!$H$20&lt;14,0,"")))</f>
        <v/>
      </c>
      <c r="J7" s="121" t="str">
        <f>IF('Zn Rec.'!C$5&gt;0,'Zn Rec.'!C$5,IF(Information!$C$13="","",IF(AND('Zn Rec.'!C$5=0,Information!$I$21=""),"",IF(AND('Zn Rec.'!$C$5=0,Information!$I$21&gt;0),0,""))))</f>
        <v/>
      </c>
      <c r="K7" s="121" t="str">
        <f>IF('S Rec.'!C$17&gt;0,'S Rec.'!C$17,IF(Information!$C$13="","",IF(AND('S Rec.'!$C$17=0,Information!$K$21=""),"",IF(AND('S Rec.'!$C$17=0,Information!$K$21&gt;0),0,""))))</f>
        <v/>
      </c>
      <c r="L7" s="123" t="str">
        <f>IF('Cl Rec.'!$C$7&gt;0,'Cl Rec.'!$C$7,IF(Information!$C$13="","",IF(AND('Cl Rec.'!C$7=0,Information!$L21=""),"",IF(AND('Cl Rec.'!C$7=0,Information!$L21&gt;0),0,""))))</f>
        <v/>
      </c>
      <c r="M7" s="122" t="str">
        <f>IF('B Rec.'!$C$8&gt;0,'B Rec.'!C$8,IF(Information!$C$13="","",IF(AND('B Rec.'!C$8=0,Information!$M$21=""),"",IF(AND('B Rec.'!$C$8=0,Information!$M$21&gt;0),0,""))))</f>
        <v/>
      </c>
    </row>
    <row r="8" spans="1:13" s="44" customFormat="1" ht="18.95" customHeight="1" x14ac:dyDescent="0.2">
      <c r="A8" s="51"/>
      <c r="B8" s="52"/>
      <c r="C8" s="125"/>
      <c r="D8" s="118" t="str">
        <f>IF(Information!$F$13="","",Information!$F$13)</f>
        <v/>
      </c>
      <c r="E8" s="119" t="str">
        <f>IF(Information!$H$13&gt;0,Information!$H$13,"")</f>
        <v/>
      </c>
      <c r="F8" s="120" t="str">
        <f>IF(OR(Information!$F$13="",Information!$D$21=""),"",IF('Lime Rec.'!$I$33&gt;0,'Lime Rec.'!$I$33,IF('Lime Rec.'!$I$33=0,"","")))</f>
        <v/>
      </c>
      <c r="G8" s="120" t="str">
        <f>IF(AND(Information!$F$13="Corn",'N Rec.'!$K$121&gt;=230,Information!$I$9="No"),230,IF(AND(Information!$F$13="Corn",'N Rec.'!$K$121&gt;=300,Information!$I$9="Yes"),300,IF(AND(Information!$F$13="Silage-Corn",'N Rec.'!$K$121&gt;=230,Information!$I$9="No"),230,IF(AND(Information!$F$13="Silage-Corn",'N Rec.'!$K$121&gt;=300,Information!$I$9="Yes"),300,IF('N Rec.'!K121&gt;9,'N Rec.'!K$121,IF(Information!$F$13="","",IF('N Rec.'!K121&lt;9,0,IF(Information!F13="New Alfalfa/Clover",20,""))))))))</f>
        <v/>
      </c>
      <c r="H8" s="121" t="str">
        <f>IF('P Rec. Build'!$I$20&gt;14,'P Rec. Build'!$I$20,IF(Information!$F13="","",IF('P Rec. Build'!$I$20&lt;14,0,"")))</f>
        <v/>
      </c>
      <c r="I8" s="121" t="str">
        <f>IF('K Rec. Build'!$I$20&gt;14,'K Rec. Build'!$I$20,IF(Information!$F13="","",IF('K Rec. Build'!$I$20&lt;14,0,"")))</f>
        <v/>
      </c>
      <c r="J8" s="121" t="str">
        <f>IF('Zn Rec.'!$I$5&gt;0,'Zn Rec.'!$I$5,IF(Information!$F$13="","",IF(AND('Zn Rec.'!$I$5=0,Information!$I$21=""),"",IF(AND('Zn Rec.'!$I$5=0,Information!$I$21&gt;0),0,""))))</f>
        <v/>
      </c>
      <c r="K8" s="121" t="str">
        <f>IF('S Rec.'!$I$17&gt;0,'S Rec.'!I$17,IF(Information!$F$13="","",IF(AND('S Rec.'!$I$17=0,Information!$K$21=""),"",IF(AND('S Rec.'!$I$17=0,Information!$K$21&gt;0),0,""))))</f>
        <v/>
      </c>
      <c r="L8" s="123" t="str">
        <f>IF('Cl Rec.'!$I$7&gt;0,'Cl Rec.'!$I$7,IF(Information!$F$13="","",IF(AND('Cl Rec.'!$I$7=0,Information!L21=""),"",IF(AND('Cl Rec.'!I$7=0,Information!L21&gt;0),0,""))))</f>
        <v/>
      </c>
      <c r="M8" s="122" t="str">
        <f>IF('B Rec.'!$I$8&gt;0,'B Rec.'!I$8,IF(Information!$F$13="","",IF(AND('B Rec.'!$I$8=0,Information!$M$21=""),"",IF(AND('B Rec.'!$I$8=0,Information!$M$21&gt;0),0,""))))</f>
        <v/>
      </c>
    </row>
    <row r="9" spans="1:13" s="44" customFormat="1" ht="18.95" customHeight="1" x14ac:dyDescent="0.2">
      <c r="A9" s="51"/>
      <c r="B9" s="52"/>
      <c r="C9" s="125"/>
      <c r="D9" s="118" t="str">
        <f>IF(Information!$I$13="","",Information!$I$13)</f>
        <v/>
      </c>
      <c r="E9" s="119" t="str">
        <f>IF(Information!$K$13&gt;0,Information!$K$13,"")</f>
        <v/>
      </c>
      <c r="F9" s="120" t="str">
        <f>IF(OR(Information!$I$13="",Information!$D$21=""),"",IF('Lime Rec.'!$O$33&gt;0,'Lime Rec.'!$O$33,IF('Lime Rec.'!$O$33=0,"","")))</f>
        <v/>
      </c>
      <c r="G9" s="120" t="str">
        <f>IF(AND(Information!$I$13="Corn",'N Rec.'!$R$121&gt;=230,Information!$I$9="No"),230,IF(AND(Information!$I$13="Corn",'N Rec.'!$R$121&gt;=300,Information!$I$9="Yes"),300,IF(AND(Information!$I$13="Silage-Corn",'N Rec.'!$R$121&gt;=230,Information!$I$9="No"),230,IF(AND(Information!$I$13="Silage-Corn",'N Rec.'!$R$121&gt;=300,Information!$I$9="Yes"),300,IF('N Rec.'!R$121&gt;9,'N Rec.'!R$121,IF(Information!$I$13="","",IF('N Rec.'!$R$121&lt;9,0,IF(Information!I13="New Alfalfa/Clover",20,""))))))))</f>
        <v/>
      </c>
      <c r="H9" s="121" t="str">
        <f>IF('P Rec. Build'!$J$20&gt;14,'P Rec. Build'!$J$20,IF(Information!$I13="","",IF('P Rec. Build'!$J$20&lt;14,0,"")))</f>
        <v/>
      </c>
      <c r="I9" s="121" t="str">
        <f>IF('K Rec. Build'!$J$20&gt;14,'K Rec. Build'!$J$20,IF(Information!$I13="","",IF('K Rec. Build'!$J$20&lt;14,0,"")))</f>
        <v/>
      </c>
      <c r="J9" s="121" t="str">
        <f>IF('Zn Rec.'!$O$5&gt;0,'Zn Rec.'!$O$5,IF(Information!$I$13="","",IF(AND('Zn Rec.'!$O$5=0,Information!$I$21=""),"",IF(AND('Zn Rec.'!$O$5=0,Information!$I$21&gt;0),0,""))))</f>
        <v/>
      </c>
      <c r="K9" s="121" t="str">
        <f>IF('S Rec.'!$O$17&gt;0,'S Rec.'!$O$17,IF(Information!$I$13="","",IF(AND('S Rec.'!$O$17=0,Information!$K$21=""),"",IF(AND('S Rec.'!$O$17=0,Information!$K$21&gt;0),0,""))))</f>
        <v/>
      </c>
      <c r="L9" s="123" t="str">
        <f>IF('Cl Rec.'!$O$7&gt;0,'Cl Rec.'!$O$7,IF(Information!$I$13="","",IF(AND('Cl Rec.'!$O$7=0,Information!$L21=""),"",IF(AND('Cl Rec.'!$O$7=0,Information!L21&gt;0),0,""))))</f>
        <v/>
      </c>
      <c r="M9" s="122" t="str">
        <f>IF('B Rec.'!$O$8&gt;0,'B Rec.'!C$8,IF(Information!$I$13="","",IF(AND('B Rec.'!C$8=0,Information!$M$21=""),"",IF(AND('B Rec.'!$O$8=0,Information!$M$21&gt;0),0,""))))</f>
        <v/>
      </c>
    </row>
    <row r="10" spans="1:13" s="44" customFormat="1" ht="18.95" customHeight="1" x14ac:dyDescent="0.2">
      <c r="A10" s="49" t="str">
        <f>IF(Information!A22="","",Information!A22)</f>
        <v/>
      </c>
      <c r="B10" s="50" t="str">
        <f>IF(Information!B22="","",Information!B22)</f>
        <v/>
      </c>
      <c r="C10" s="125" t="str">
        <f>IF(Information!L14="","",Information!L14)</f>
        <v/>
      </c>
      <c r="D10" s="118" t="str">
        <f>IF(Information!$C$14="","",Information!$C$14)</f>
        <v/>
      </c>
      <c r="E10" s="119" t="str">
        <f>IF(Information!$E$14&gt;0,Information!$E$14,"")</f>
        <v/>
      </c>
      <c r="F10" s="120" t="str">
        <f>IF(OR(Information!$C$14="",Information!$D$22=""),"",IF('Lime Rec.'!$D$33&gt;0,'Lime Rec.'!$D$33,IF('Lime Rec.'!$D$33=0,"","")))</f>
        <v/>
      </c>
      <c r="G10" s="120" t="str">
        <f>IF(AND(Information!$C$14="Corn",'N Rec.'!$E$121&gt;=230,Information!$I$9="No"),230,IF(AND(Information!$C$14="Corn",'N Rec.'!$E$121&gt;=300,Information!$I$9="Yes"),300,IF(AND(Information!$C$14="Silage-Corn",'N Rec.'!$E$121&gt;=230,Information!$I$9="No"),230,IF(AND(Information!$C$14="Silage-Corn",'N Rec.'!$E$121&gt;=300,Information!$I$9="Yes"),300,IF('N Rec.'!E$121&gt;9,'N Rec.'!E$121,IF(Information!$C$14="","",IF('N Rec.'!$E$121&lt;9,0,IF(Information!C14="New Alfalfa/Clover",20,""))))))))</f>
        <v/>
      </c>
      <c r="H10" s="121" t="str">
        <f>IF('P Rec. Build'!$N$20&gt;14,'P Rec. Build'!$N$20,IF(Information!$C14="","",IF('P Rec. Build'!$N$20&lt;14,0,"")))</f>
        <v/>
      </c>
      <c r="I10" s="121" t="str">
        <f>IF('K Rec. Build'!$N$20&gt;14,'K Rec. Build'!$N$20,IF(Information!$C14="","",IF('K Rec. Build'!$N$20&lt;14,0,"")))</f>
        <v/>
      </c>
      <c r="J10" s="121" t="str">
        <f>IF('Zn Rec.'!$D$5&gt;0,'Zn Rec.'!$D$5,IF(Information!$C$14="","",IF(AND('Zn Rec.'!$D$5=0,Information!$I22=""),"",IF(AND('Zn Rec.'!$D$5=0,Information!$I$22&gt;0),0,""))))</f>
        <v/>
      </c>
      <c r="K10" s="121" t="str">
        <f>IF('S Rec.'!$D$17&gt;0,'S Rec.'!$D$17,IF(Information!$C$14="","",IF(AND('S Rec.'!$D$17=0,Information!$K$22=""),"",IF(AND('S Rec.'!$D$17=0,Information!$K$22&gt;0),0,""))))</f>
        <v/>
      </c>
      <c r="L10" s="123" t="str">
        <f>IF('Cl Rec.'!$D$7&gt;0,'Cl Rec.'!$D$7,IF(Information!$C$14="","",IF(AND('Cl Rec.'!$D$7=0,Information!$L$22=""),"",IF(AND('Cl Rec.'!$D$7=0,Information!$L$22&gt;0),0,""))))</f>
        <v/>
      </c>
      <c r="M10" s="122" t="str">
        <f>IF('B Rec.'!$D$8&gt;0,'B Rec.'!$D$8,IF(Information!$C$14="","",IF(AND('B Rec.'!$D$8=0,Information!$M$22=""),"",IF(AND('B Rec.'!$D$8=0,Information!$M$22&gt;0),0,""))))</f>
        <v/>
      </c>
    </row>
    <row r="11" spans="1:13" s="44" customFormat="1" ht="18.95" customHeight="1" x14ac:dyDescent="0.2">
      <c r="A11" s="53"/>
      <c r="B11" s="54"/>
      <c r="C11" s="126"/>
      <c r="D11" s="118" t="str">
        <f>IF(Information!$F$14="","",Information!$F$14)</f>
        <v/>
      </c>
      <c r="E11" s="119" t="str">
        <f>IF(Information!$H$14&gt;0,Information!$H$14,"")</f>
        <v/>
      </c>
      <c r="F11" s="120" t="str">
        <f>IF(OR(Information!$F$14="",Information!$D$22=""),"",IF('Lime Rec.'!$J$33&gt;0,'Lime Rec.'!$J$33,IF('Lime Rec.'!$J$33=0,"","")))</f>
        <v/>
      </c>
      <c r="G11" s="120" t="str">
        <f>IF(AND(Information!$F$14="Corn",'N Rec.'!$L$121&gt;=230,Information!$I$9="No"),230,IF(AND(Information!$F$14="Corn",'N Rec.'!$L$121&gt;=300,Information!$I$9="Yes"),300,IF(AND(Information!$F$14="Silage-Corn",'N Rec.'!$L$121&gt;=230,Information!$I$9="No"),230,IF(AND(Information!$F$14="Silage-Corn",'N Rec.'!$L$121&gt;=300,Information!$I$9="Yes"),300,IF('N Rec.'!L$121&gt;9,'N Rec.'!L$121,IF(Information!$F$14="","",IF('N Rec.'!$L$121&lt;9,0,IF(Information!F14="New Alfalfa/Clover",20,""))))))))</f>
        <v/>
      </c>
      <c r="H11" s="121" t="str">
        <f>IF('P Rec. Build'!$O$20&gt;14,'P Rec. Build'!$O$20,IF(Information!$F14="","",IF('P Rec. Build'!$O$20&lt;14,0,"")))</f>
        <v/>
      </c>
      <c r="I11" s="121" t="str">
        <f>IF('K Rec. Build'!$O$20&gt;14,'K Rec. Build'!$O$20,IF(Information!$F14="","",IF('K Rec. Build'!$O$20&lt;14,0,"")))</f>
        <v/>
      </c>
      <c r="J11" s="121" t="str">
        <f>IF('Zn Rec.'!$J$5&gt;0,'Zn Rec.'!$J$5,IF(Information!$F$14="","",IF(AND('Zn Rec.'!$J$5=0,Information!$I22=""),"",IF(AND('Zn Rec.'!$J$5=0,Information!$I$22&gt;0),0,""))))</f>
        <v/>
      </c>
      <c r="K11" s="121" t="str">
        <f>IF('S Rec.'!$J$17&gt;0,'S Rec.'!$J$17,IF(Information!$F$14="","",IF(AND('S Rec.'!$J$17=0,Information!$K$22=""),"",IF(AND('S Rec.'!$J$17=0,Information!$K$22&gt;0),0,""))))</f>
        <v/>
      </c>
      <c r="L11" s="123" t="str">
        <f>IF('Cl Rec.'!$J$7&gt;0,'Cl Rec.'!$J$7,IF(Information!$F$14="","",IF(AND('Cl Rec.'!$J$7=0,Information!$L$22=""),"",IF(AND('Cl Rec.'!$J$7=0,Information!$L$22&gt;0),0,""))))</f>
        <v/>
      </c>
      <c r="M11" s="122" t="str">
        <f>IF('B Rec.'!$J$8&gt;0,'B Rec.'!$J$8,IF(Information!$F$14="","",IF(AND('B Rec.'!$J$8=0,Information!$M$22=""),"",IF(AND('B Rec.'!$J$8=0,Information!$M$22&gt;0),0,""))))</f>
        <v/>
      </c>
    </row>
    <row r="12" spans="1:13" s="44" customFormat="1" ht="18.95" customHeight="1" x14ac:dyDescent="0.2">
      <c r="A12" s="53"/>
      <c r="B12" s="54"/>
      <c r="C12" s="126"/>
      <c r="D12" s="118" t="str">
        <f>IF(Information!$I$14="","",Information!$I$14)</f>
        <v/>
      </c>
      <c r="E12" s="119" t="str">
        <f>IF(Information!$K$14&gt;0,Information!$K$14,"")</f>
        <v/>
      </c>
      <c r="F12" s="120" t="str">
        <f>IF(OR(Information!$I$14="",Information!$D$22=""),"",IF('Lime Rec.'!$P$33&gt;0,'Lime Rec.'!$P$33,IF('Lime Rec.'!$P$33=0,"","")))</f>
        <v/>
      </c>
      <c r="G12" s="120" t="str">
        <f>IF(AND(Information!$I$14="Corn",'N Rec.'!$S$121&gt;=230,Information!$I$9="No"),230,IF(AND(Information!$I$14="Corn",'N Rec.'!$S$121&gt;=300,Information!$I$9="Yes"),300,IF(AND(Information!$I$14="Silage-Corn",'N Rec.'!$S$121&gt;=230,Information!$I$9="No"),230,IF(AND(Information!$I$14="Silage-Corn",'N Rec.'!$S$121&gt;=300,Information!$I$9="Yes"),300,IF('N Rec.'!S$121&gt;9,'N Rec.'!S$121,IF(Information!$I$14="","",IF('N Rec.'!$S$121&lt;9,0,IF(Information!I14="New Alfalfa/Clover",20,""))))))))</f>
        <v/>
      </c>
      <c r="H12" s="121" t="str">
        <f>IF('P Rec. Build'!$P$20&gt;14,'P Rec. Build'!$P$20,IF(Information!$I14="","",IF('P Rec. Build'!$P$20&lt;14,0,"")))</f>
        <v/>
      </c>
      <c r="I12" s="121" t="str">
        <f>IF('K Rec. Build'!$P$20&gt;14,'K Rec. Build'!$P$20,IF(Information!$I14="","",IF('K Rec. Build'!$P$20&lt;14,0,"")))</f>
        <v/>
      </c>
      <c r="J12" s="121" t="str">
        <f>IF('Zn Rec.'!$P$5&gt;0,'Zn Rec.'!$P$5,IF(Information!$I$14="","",IF(AND('Zn Rec.'!$P$5=0,Information!$I22=""),"",IF(AND('Zn Rec.'!$P$5=0,Information!$I$22&gt;0),0,""))))</f>
        <v/>
      </c>
      <c r="K12" s="121" t="str">
        <f>IF('S Rec.'!$P$17&gt;0,'S Rec.'!$P$17,IF(Information!$I$14="","",IF(AND('S Rec.'!$P$17=0,Information!$K$22=""),"",IF(AND('S Rec.'!$P$17=0,Information!$K$22&gt;0),0,""))))</f>
        <v/>
      </c>
      <c r="L12" s="123" t="str">
        <f>IF('Cl Rec.'!$P$7&gt;0,'Cl Rec.'!$P$7,IF(Information!$I$14="","",IF(AND('Cl Rec.'!$P$7=0,Information!$L$22=""),"",IF(AND('Cl Rec.'!$P$7=0,Information!$L$22&gt;0),0,""))))</f>
        <v/>
      </c>
      <c r="M12" s="122" t="str">
        <f>IF('B Rec.'!$P$8&gt;0,'B Rec.'!$P$8,IF(Information!$I$14="","",IF(AND('B Rec.'!$P$8=0,Information!$M$22=""),"",IF(AND('B Rec.'!$P$8=0,Information!$M$22&gt;0),0,""))))</f>
        <v/>
      </c>
    </row>
    <row r="13" spans="1:13" s="44" customFormat="1" ht="18.95" customHeight="1" x14ac:dyDescent="0.2">
      <c r="A13" s="49" t="str">
        <f>IF(Information!A23="","",Information!A23)</f>
        <v/>
      </c>
      <c r="B13" s="50" t="str">
        <f>IF(Information!B23="","",Information!B23)</f>
        <v/>
      </c>
      <c r="C13" s="126" t="str">
        <f>IF(Information!L15="","",Information!L15)</f>
        <v/>
      </c>
      <c r="D13" s="125" t="str">
        <f>IF(Information!$C$15="","",Information!$C$15)</f>
        <v/>
      </c>
      <c r="E13" s="123" t="str">
        <f>IF(Information!$E$15&gt;0,Information!$E$15,"")</f>
        <v/>
      </c>
      <c r="F13" s="120" t="str">
        <f>IF(OR(Information!$C$15="",Information!$D$23=""),"",IF('Lime Rec.'!$E$33&gt;0,'Lime Rec.'!$E$33,IF('Lime Rec.'!$E$33=0,"","")))</f>
        <v/>
      </c>
      <c r="G13" s="120" t="str">
        <f>IF(AND(Information!$C$15="Corn",'N Rec.'!$F$121&gt;=230,Information!$I$9="No"),230,IF(AND(Information!$C$15="Corn",'N Rec.'!$F$121&gt;=300,Information!$I$9="Yes"),300,IF(AND(Information!$C$15="Silage-Corn",'N Rec.'!$F$121&gt;=230,Information!$I$9="No"),230,IF(AND(Information!$C$15="Silage-Corn",'N Rec.'!$F$121&gt;=300,Information!$I$9="Yes"),300,IF('N Rec.'!F$121&gt;9,'N Rec.'!F$121,IF(Information!$C$15="","",IF('N Rec.'!$F$121&lt;9,0,IF(Information!C15="New Alfalfa/Clover",20,""))))))))</f>
        <v/>
      </c>
      <c r="H13" s="121" t="str">
        <f>IF('P Rec. Build'!$T$20&gt;14,'P Rec. Build'!$T$20,IF(Information!$C15="","",IF('P Rec. Build'!$T$20&lt;14,0,"")))</f>
        <v/>
      </c>
      <c r="I13" s="121" t="str">
        <f>IF('K Rec. Build'!$T$20&gt;14,'K Rec. Build'!$T$20,IF(Information!$C15="","",IF('K Rec. Build'!$T$20&lt;14,0,"")))</f>
        <v/>
      </c>
      <c r="J13" s="123" t="str">
        <f>IF('Zn Rec.'!$E$5&gt;0,'Zn Rec.'!$E$5,IF(Information!$C$15="","",IF(AND('Zn Rec.'!$E$5=0,Information!$I$23=""),"",IF(AND('Zn Rec.'!$E$5=0,Information!$I$23&gt;0),0,""))))</f>
        <v/>
      </c>
      <c r="K13" s="123" t="str">
        <f>IF('S Rec.'!$E$17&gt;0,'S Rec.'!$E$17,IF(Information!$C$15="","",IF(AND('S Rec.'!$E$17=0,Information!$K$23=""),"",IF(AND('S Rec.'!$E$17=0,Information!$K$23&gt;0),0,""))))</f>
        <v/>
      </c>
      <c r="L13" s="123" t="str">
        <f>IF('Cl Rec.'!$E$7&gt;0,'Cl Rec.'!$E$7,IF(Information!$C$15="","",IF(AND('Cl Rec.'!$E$7=0,Information!$L$23=""),"",IF(AND('Cl Rec.'!$E$7=0,Information!$L$23&gt;0),0,""))))</f>
        <v/>
      </c>
      <c r="M13" s="124" t="str">
        <f>IF('B Rec.'!$E$8&gt;0,'B Rec.'!$E$8,IF(Information!$C$15="","",IF(AND('B Rec.'!$E$8=0,Information!$M$23=""),"",IF(AND('B Rec.'!$E$8=0,Information!$M$23&gt;0),0,""))))</f>
        <v/>
      </c>
    </row>
    <row r="14" spans="1:13" s="44" customFormat="1" ht="18.95" customHeight="1" x14ac:dyDescent="0.2">
      <c r="A14" s="55"/>
      <c r="B14" s="56"/>
      <c r="C14" s="123"/>
      <c r="D14" s="125" t="str">
        <f>IF(Information!$F$15="","",Information!$F$15)</f>
        <v/>
      </c>
      <c r="E14" s="123" t="str">
        <f>IF(Information!$H$15&gt;0,Information!$H$15,"")</f>
        <v/>
      </c>
      <c r="F14" s="120" t="str">
        <f>IF(OR(Information!$F$15="",Information!$D$23=""),"",IF('Lime Rec.'!$K$33&gt;0,'Lime Rec.'!$K$33,IF('Lime Rec.'!$K$33=0,"","")))</f>
        <v/>
      </c>
      <c r="G14" s="120" t="str">
        <f>IF(AND(Information!$F$15="Corn",'N Rec.'!$M$121&gt;=230,Information!$I$9="No"),230,IF(AND(Information!$F$15="Corn",'N Rec.'!$M$121&gt;=300,Information!$I$9="Yes"),300,IF(AND(Information!$F$15="Silage-Corn",'N Rec.'!$M$121&gt;=230,Information!$I$9="No"),230,IF(AND(Information!$F$15="Silage-Corn",'N Rec.'!$M$121&gt;=300,Information!$I$9="Yes"),300,IF('N Rec.'!M$121&gt;9,'N Rec.'!M$121,IF(Information!$F$15="","",IF('N Rec.'!$M$121&lt;9,0,IF(Information!F15="New Alfalfa/Clover",20,""))))))))</f>
        <v/>
      </c>
      <c r="H14" s="121" t="str">
        <f>IF('P Rec. Build'!$U$20&gt;14,'P Rec. Build'!$U$20,IF(Information!$F15="","",IF('P Rec. Build'!$U$20&lt;14,0,"")))</f>
        <v/>
      </c>
      <c r="I14" s="121" t="str">
        <f>IF('K Rec. Build'!$U$20&gt;14,'K Rec. Build'!$U$20,IF(Information!$F15="","",IF('K Rec. Build'!$U$20&lt;14,0,"")))</f>
        <v/>
      </c>
      <c r="J14" s="123" t="str">
        <f>IF('Zn Rec.'!$K$5&gt;0,'Zn Rec.'!$K$5,IF(Information!$F$15="","",IF(AND('Zn Rec.'!$K$5=0,Information!$I$23=""),"",IF(AND('Zn Rec.'!$K$5=0,Information!$I$23&gt;0),0,""))))</f>
        <v/>
      </c>
      <c r="K14" s="123" t="str">
        <f>IF('S Rec.'!$K$17&gt;0,'S Rec.'!$K$17,IF(Information!$F$15="","",IF(AND('S Rec.'!$K$17=0,Information!$K$23=""),"",IF(AND('S Rec.'!$K$17=0,Information!$K$23&gt;0),0,""))))</f>
        <v/>
      </c>
      <c r="L14" s="123" t="str">
        <f>IF('Cl Rec.'!$K$7&gt;0,'Cl Rec.'!$K$7,IF(Information!$F$15="","",IF(AND('Cl Rec.'!$K$7=0,Information!$L$23=""),"",IF(AND('Cl Rec.'!$K$7=0,Information!$L$23&gt;0),0,""))))</f>
        <v/>
      </c>
      <c r="M14" s="124" t="str">
        <f>IF('B Rec.'!$K$8&gt;0,'B Rec.'!$K$8,IF(Information!$F$15="","",IF(AND('B Rec.'!$K$8=0,Information!$M$23=""),"",IF(AND('B Rec.'!$K$8=0,Information!$M$23&gt;0),0,""))))</f>
        <v/>
      </c>
    </row>
    <row r="15" spans="1:13" s="44" customFormat="1" ht="18.95" customHeight="1" thickBot="1" x14ac:dyDescent="0.25">
      <c r="A15" s="57"/>
      <c r="B15" s="58"/>
      <c r="C15" s="127"/>
      <c r="D15" s="128" t="str">
        <f>IF(Information!$I$15="","",Information!$I$15)</f>
        <v/>
      </c>
      <c r="E15" s="127" t="str">
        <f>IF(Information!$K$15&gt;0,Information!$K$15,"")</f>
        <v/>
      </c>
      <c r="F15" s="129" t="str">
        <f>IF(OR(Information!$I$15="",Information!$D$23=""),"",IF('Lime Rec.'!$Q$33&gt;0,'Lime Rec.'!$Q$33,IF('Lime Rec.'!$Q$33=0,"","")))</f>
        <v/>
      </c>
      <c r="G15" s="130" t="str">
        <f>IF(AND(Information!$I$15="Corn",'N Rec.'!$T$121&gt;=230,Information!$I$9="No"),230,IF(AND(Information!$I$15="Corn",'N Rec.'!$T$121&gt;=300,Information!$I$9="Yes"),300,IF(AND(Information!$I$15="Silage-Corn",'N Rec.'!$T$121&gt;=230,Information!$I$9="No"),230,IF(AND(Information!$I$15="Silage-Corn",'N Rec.'!$T$121&gt;=300,Information!$I$9="Yes"),300,IF('N Rec.'!T$121&gt;9,'N Rec.'!T$121,IF(Information!$I$15="","",IF('N Rec.'!$T$121&lt;9,0,IF(Information!I15="New Alfalfa/Clover",20,""))))))))</f>
        <v/>
      </c>
      <c r="H15" s="164" t="str">
        <f>IF('P Rec. Build'!$V$20&gt;14,'P Rec. Build'!$V$20,IF(Information!$I15="","",IF('P Rec. Build'!$V$20&lt;14,0,"")))</f>
        <v/>
      </c>
      <c r="I15" s="127" t="str">
        <f>IF('K Rec. Build'!$V$20&gt;14,'K Rec. Build'!$V$20,IF(Information!$I15="","",IF('K Rec. Build'!$V$20&lt;14,0,"")))</f>
        <v/>
      </c>
      <c r="J15" s="127" t="str">
        <f>IF('Zn Rec.'!$Q$5&gt;0,'Zn Rec.'!$Q$5,IF(Information!$I$15="","",IF(AND('Zn Rec.'!$Q$5=0,Information!$I$23=""),"",IF(AND('Zn Rec.'!$Q$5=0,Information!$I$23&gt;0),0,""))))</f>
        <v/>
      </c>
      <c r="K15" s="127" t="str">
        <f>IF('S Rec.'!$Q$17&gt;0,'S Rec.'!$Q$17,IF(Information!$I$15="","",IF(AND('S Rec.'!$Q$17=0,Information!$K$23=""),"",IF(AND('S Rec.'!$Q$17=0,Information!$K$23&gt;0),0,""))))</f>
        <v/>
      </c>
      <c r="L15" s="127" t="str">
        <f>IF('Cl Rec.'!$K$7&gt;0,'Cl Rec.'!$K$7,IF(Information!$I$15="","",IF(AND('Cl Rec.'!$K$7=0,Information!$L$23=""),"",IF(AND('Cl Rec.'!$K$7=0,Information!$L$23&gt;0),0,""))))</f>
        <v/>
      </c>
      <c r="M15" s="131" t="str">
        <f>IF('B Rec.'!$K$8&gt;0,'B Rec.'!$K$8,IF(Information!$I$15="","",IF(AND('B Rec.'!$K$8=0,Information!$M$23=""),"",IF(AND('B Rec.'!$K$8=0,Information!$M$23&gt;0),0,""))))</f>
        <v/>
      </c>
    </row>
    <row r="16" spans="1:13" x14ac:dyDescent="0.2">
      <c r="A16" s="86" t="s">
        <v>84</v>
      </c>
      <c r="C16" s="165" t="s">
        <v>311</v>
      </c>
    </row>
    <row r="17" spans="1:13" x14ac:dyDescent="0.2">
      <c r="A17" s="116" t="str">
        <f>IF(B4="","","Sample 1:")</f>
        <v/>
      </c>
      <c r="B17" s="231" t="str">
        <f>IF(AND(G4&lt;40,OR(D4="Corn",D4="Grain Sorghum",D4="Corn Silage",D4="Sorghum Silage")),"A minimum fertilizer application of 40 lb N/A may be appropriate for early crop growth and development.",IF(AND(G4&lt;30,OR(D4="Wheat",D4="Oats",D4="Sunflower")),"A minimum fertilizer application of 30 lb N/A may be appropriate for early crop growth and development.",""))</f>
        <v/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</row>
    <row r="18" spans="1:13" ht="23.25" customHeight="1" x14ac:dyDescent="0.2">
      <c r="A18" s="229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</row>
    <row r="19" spans="1:13" s="87" customFormat="1" ht="23.25" customHeight="1" x14ac:dyDescent="0.2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</row>
    <row r="20" spans="1:13" x14ac:dyDescent="0.2">
      <c r="A20" s="116" t="str">
        <f>IF(B7="","","Sample 2:")</f>
        <v/>
      </c>
      <c r="B20" s="231" t="str">
        <f>IF(AND(G7&lt;40,OR(D7="Corn",D7="Grain Sorghum",D7="Corn Silage",D7="Sorghum Silage")),"A minimum fertilizer application of 40 lb N/A may be appropriate for early crop growth and development.",IF(AND(G7&lt;30,OR(D7="Wheat",D7="Oats",D7="Sunflower")),"A minimum fertilizer application of 30 lb N/A may be appropriate for early crop growth and development.",""))</f>
        <v/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</row>
    <row r="21" spans="1:13" s="88" customFormat="1" ht="23.25" customHeight="1" x14ac:dyDescent="0.2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</row>
    <row r="22" spans="1:13" s="88" customFormat="1" ht="23.25" customHeight="1" x14ac:dyDescent="0.2">
      <c r="A22" s="230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</row>
    <row r="23" spans="1:13" x14ac:dyDescent="0.2">
      <c r="A23" s="116" t="str">
        <f>IF(B10="","","Sample 3:")</f>
        <v/>
      </c>
      <c r="B23" s="231" t="str">
        <f>IF(AND(G10&lt;40,OR(D10="Corn",D10="Grain Sorghum",D10="Corn Silage",D10="Sorghum Silage")),"A minimum fertilizer application of 40 lb N/A may be appropriate for early crop growth and development.",IF(AND(G10&lt;30,OR(D10="Wheat",D10="Oats",D10="Sunflower")),"A minimum fertilizer application of 30 lb N/A may be appropriate for early crop growth and development.",""))</f>
        <v/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</row>
    <row r="24" spans="1:13" s="88" customFormat="1" ht="23.25" customHeight="1" x14ac:dyDescent="0.2">
      <c r="A24" s="230"/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</row>
    <row r="25" spans="1:13" s="88" customFormat="1" ht="23.25" customHeight="1" x14ac:dyDescent="0.2">
      <c r="A25" s="230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</row>
    <row r="26" spans="1:13" x14ac:dyDescent="0.2">
      <c r="A26" s="116" t="str">
        <f>IF(B13="","","Sample4:")</f>
        <v/>
      </c>
      <c r="B26" s="231" t="str">
        <f>IF(AND(G13&lt;40,OR(D13="Corn",D13="Grain Sorghum",D13="Corn Silage",D13="Sorghum Silage")),"A minimum fertilizer application of 40 lb N/A may be appropriate for early crop growth and development.",IF(AND(G13&lt;30,OR(D13="Wheat",D13="Oats",D13="Sunflower")),"A minimum fertilizer application of 30 lb N/A may be appropriate for early crop growth and development.",""))</f>
        <v/>
      </c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</row>
    <row r="27" spans="1:13" s="88" customFormat="1" ht="23.25" customHeight="1" x14ac:dyDescent="0.2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</row>
    <row r="28" spans="1:13" s="88" customFormat="1" ht="23.25" customHeight="1" x14ac:dyDescent="0.2">
      <c r="A28" s="230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</row>
  </sheetData>
  <sheetProtection algorithmName="SHA-512" hashValue="0hYf7+c3RDbonmKLuYv+puFkmdK0fa3hr7qywPpmI8eGkDWRCFispQIx4+GbyaBqBX/78DQJmQ9MCBYB+gGURQ==" saltValue="oS/u8JrBMj2eIwoFV2hU5w==" spinCount="100000" sheet="1" objects="1" scenarios="1"/>
  <mergeCells count="22">
    <mergeCell ref="A27:M28"/>
    <mergeCell ref="G2:G3"/>
    <mergeCell ref="K2:K3"/>
    <mergeCell ref="B20:M20"/>
    <mergeCell ref="B23:M23"/>
    <mergeCell ref="A21:M22"/>
    <mergeCell ref="B17:M17"/>
    <mergeCell ref="A18:M19"/>
    <mergeCell ref="I2:I3"/>
    <mergeCell ref="A24:M25"/>
    <mergeCell ref="A2:A3"/>
    <mergeCell ref="B2:B3"/>
    <mergeCell ref="C2:C3"/>
    <mergeCell ref="D2:D3"/>
    <mergeCell ref="B26:M26"/>
    <mergeCell ref="L2:L3"/>
    <mergeCell ref="F1:M1"/>
    <mergeCell ref="M2:M3"/>
    <mergeCell ref="E2:E3"/>
    <mergeCell ref="F2:F3"/>
    <mergeCell ref="J2:J3"/>
    <mergeCell ref="H2:H3"/>
  </mergeCells>
  <phoneticPr fontId="4" type="noConversion"/>
  <pageMargins left="0.25" right="0.25" top="1" bottom="0.25" header="0.5" footer="0.5"/>
  <pageSetup scale="91" orientation="landscape" horizontalDpi="4294967294" r:id="rId1"/>
  <headerFooter alignWithMargins="0">
    <oddHeader>&amp;L&amp;G&amp;C&amp;"Arial,Bold"&amp;16BUILD-MAINT. FERTILIZER RECOMMENDATIONS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/>
  <dimension ref="A1:W30"/>
  <sheetViews>
    <sheetView topLeftCell="G1" zoomScale="80" workbookViewId="0">
      <selection activeCell="J27" sqref="J27"/>
    </sheetView>
  </sheetViews>
  <sheetFormatPr defaultRowHeight="12.75" x14ac:dyDescent="0.2"/>
  <cols>
    <col min="1" max="1" width="18.85546875" customWidth="1"/>
    <col min="2" max="11" width="14.28515625" customWidth="1"/>
    <col min="13" max="13" width="17.140625" bestFit="1" customWidth="1"/>
    <col min="14" max="14" width="11" bestFit="1" customWidth="1"/>
    <col min="15" max="15" width="13.85546875" bestFit="1" customWidth="1"/>
    <col min="16" max="16" width="11.7109375" bestFit="1" customWidth="1"/>
    <col min="19" max="19" width="17.140625" bestFit="1" customWidth="1"/>
    <col min="20" max="20" width="11" bestFit="1" customWidth="1"/>
    <col min="21" max="21" width="13.85546875" bestFit="1" customWidth="1"/>
    <col min="22" max="22" width="11.7109375" bestFit="1" customWidth="1"/>
  </cols>
  <sheetData>
    <row r="1" spans="1:23" ht="21.75" thickBot="1" x14ac:dyDescent="0.4">
      <c r="A1" s="244" t="s">
        <v>283</v>
      </c>
      <c r="B1" s="244"/>
      <c r="C1" s="244"/>
      <c r="D1" s="244"/>
      <c r="G1" s="244" t="s">
        <v>283</v>
      </c>
      <c r="H1" s="244"/>
      <c r="I1" s="244"/>
      <c r="J1" s="244"/>
      <c r="M1" s="244" t="s">
        <v>283</v>
      </c>
      <c r="N1" s="244"/>
      <c r="O1" s="244"/>
      <c r="P1" s="244"/>
      <c r="S1" s="244" t="s">
        <v>283</v>
      </c>
      <c r="T1" s="244"/>
      <c r="U1" s="244"/>
      <c r="V1" s="244"/>
    </row>
    <row r="2" spans="1:23" ht="18.75" customHeight="1" thickTop="1" x14ac:dyDescent="0.25">
      <c r="A2" s="245" t="s">
        <v>296</v>
      </c>
      <c r="B2" s="245"/>
      <c r="C2" s="245"/>
      <c r="D2" s="245"/>
      <c r="E2" s="30"/>
      <c r="F2" s="30"/>
      <c r="G2" s="245" t="s">
        <v>299</v>
      </c>
      <c r="H2" s="245"/>
      <c r="I2" s="245"/>
      <c r="J2" s="245"/>
      <c r="K2" s="30"/>
      <c r="M2" s="245" t="s">
        <v>298</v>
      </c>
      <c r="N2" s="245"/>
      <c r="O2" s="245"/>
      <c r="P2" s="245"/>
      <c r="Q2" s="30"/>
      <c r="S2" s="245" t="s">
        <v>297</v>
      </c>
      <c r="T2" s="245"/>
      <c r="U2" s="245"/>
      <c r="V2" s="245"/>
      <c r="W2" s="30"/>
    </row>
    <row r="3" spans="1:23" ht="15" thickBot="1" x14ac:dyDescent="0.3">
      <c r="A3" s="8" t="s">
        <v>280</v>
      </c>
      <c r="B3" s="9" t="s">
        <v>281</v>
      </c>
      <c r="C3" s="9" t="s">
        <v>6</v>
      </c>
      <c r="D3" s="9" t="s">
        <v>7</v>
      </c>
      <c r="E3" s="3"/>
      <c r="F3" s="3"/>
      <c r="G3" s="8" t="s">
        <v>280</v>
      </c>
      <c r="H3" s="9" t="s">
        <v>281</v>
      </c>
      <c r="I3" s="9" t="s">
        <v>6</v>
      </c>
      <c r="J3" s="9" t="s">
        <v>7</v>
      </c>
      <c r="K3" s="3"/>
      <c r="M3" s="8" t="s">
        <v>280</v>
      </c>
      <c r="N3" s="9" t="s">
        <v>281</v>
      </c>
      <c r="O3" s="9" t="s">
        <v>6</v>
      </c>
      <c r="P3" s="9" t="s">
        <v>7</v>
      </c>
      <c r="Q3" s="3"/>
      <c r="S3" s="8" t="s">
        <v>280</v>
      </c>
      <c r="T3" s="9" t="s">
        <v>281</v>
      </c>
      <c r="U3" s="9" t="s">
        <v>6</v>
      </c>
      <c r="V3" s="9" t="s">
        <v>7</v>
      </c>
      <c r="W3" s="3"/>
    </row>
    <row r="5" spans="1:23" x14ac:dyDescent="0.2">
      <c r="A5" s="5" t="s">
        <v>30</v>
      </c>
      <c r="B5" s="23">
        <f>IF(Information!$C$12="Corn",(0.33*Information!$E$12),0)</f>
        <v>0</v>
      </c>
      <c r="C5" s="23">
        <f>IF(Information!$F$12="Corn",(0.33*Information!$H$12),0)</f>
        <v>0</v>
      </c>
      <c r="D5" s="23">
        <f>IF(Information!$I$12="Corn",(0.33*Information!$K$12),0)</f>
        <v>0</v>
      </c>
      <c r="G5" s="5" t="s">
        <v>30</v>
      </c>
      <c r="H5" s="23">
        <f>IF(Information!$C$13="Corn",(0.33*Information!$E$13),0)</f>
        <v>0</v>
      </c>
      <c r="I5" s="23">
        <f>IF(Information!$F$13="Corn",(0.33*Information!$H$13),0)</f>
        <v>0</v>
      </c>
      <c r="J5" s="23">
        <f>IF(Information!$I$13="Corn",(0.33*Information!$K$13),0)</f>
        <v>0</v>
      </c>
      <c r="M5" s="5" t="s">
        <v>30</v>
      </c>
      <c r="N5" s="23">
        <f>IF(Information!$C$14="Corn",(0.33*Information!$E$14),0)</f>
        <v>0</v>
      </c>
      <c r="O5" s="23">
        <f>IF(Information!$F$14="Corn",(0.33*Information!$H$14),0)</f>
        <v>0</v>
      </c>
      <c r="P5" s="23">
        <f>IF(Information!$I$14="Corn",(0.33*Information!$K$14),0)</f>
        <v>0</v>
      </c>
      <c r="S5" s="5" t="s">
        <v>30</v>
      </c>
      <c r="T5" s="23">
        <f>IF(Information!$C$15="Corn",(0.33*Information!$E$15),0)</f>
        <v>0</v>
      </c>
      <c r="U5" s="23">
        <f>IF(Information!$F$15="Corn",(0.33*Information!$H$15),0)</f>
        <v>0</v>
      </c>
      <c r="V5" s="23">
        <f>IF(Information!$I$15="Corn",(0.33*Information!$K$15),0)</f>
        <v>0</v>
      </c>
    </row>
    <row r="6" spans="1:23" x14ac:dyDescent="0.2">
      <c r="A6" s="5" t="s">
        <v>38</v>
      </c>
      <c r="B6" s="23">
        <f>IF(Information!$C$12="Wheat",(0.5*Information!$E$12),0)</f>
        <v>0</v>
      </c>
      <c r="C6" s="23">
        <f>IF(Information!$F$12="Wheat",(0.5*Information!$H$12),0)</f>
        <v>0</v>
      </c>
      <c r="D6" s="23">
        <f>IF(Information!$I$12="Wheat",(0.5*Information!$K$12),0)</f>
        <v>0</v>
      </c>
      <c r="G6" s="5" t="s">
        <v>38</v>
      </c>
      <c r="H6" s="23">
        <f>IF(Information!$C$13="Wheat",(0.5*Information!$E$13),0)</f>
        <v>0</v>
      </c>
      <c r="I6" s="23">
        <f>IF(Information!$F$13="Wheat",(0.5*Information!$H$13),0)</f>
        <v>0</v>
      </c>
      <c r="J6" s="23">
        <f>IF(Information!$I$13="Wheat",(0.5*Information!$K$13),0)</f>
        <v>0</v>
      </c>
      <c r="M6" s="5" t="s">
        <v>38</v>
      </c>
      <c r="N6" s="23">
        <f>IF(Information!$C$14="Wheat",(0.5*Information!$E$14),0)</f>
        <v>0</v>
      </c>
      <c r="O6" s="23">
        <f>IF(Information!$F$14="Wheat",(0.5*Information!$H$14),0)</f>
        <v>0</v>
      </c>
      <c r="P6" s="23">
        <f>IF(Information!$I$14="Wheat",(0.5*Information!$K$14),0)</f>
        <v>0</v>
      </c>
      <c r="S6" s="5" t="s">
        <v>38</v>
      </c>
      <c r="T6" s="23">
        <f>IF(Information!$C$15="Wheat",(0.5*Information!$E$15),0)</f>
        <v>0</v>
      </c>
      <c r="U6" s="23">
        <f>IF(Information!$F$15="Wheat",(0.5*Information!$H$15),0)</f>
        <v>0</v>
      </c>
      <c r="V6" s="23">
        <f>IF(Information!$I$15="Wheat",(0.5*Information!$K$15),0)</f>
        <v>0</v>
      </c>
    </row>
    <row r="7" spans="1:23" x14ac:dyDescent="0.2">
      <c r="A7" s="5" t="s">
        <v>39</v>
      </c>
      <c r="B7" s="23">
        <f>IF(Information!$C$12="Grain Sorghum",(0.4*Information!$E$12),0)</f>
        <v>0</v>
      </c>
      <c r="C7" s="23">
        <f>IF(Information!$F$12="Grain Sorghum",(0.4*Information!$H$12),0)</f>
        <v>0</v>
      </c>
      <c r="D7" s="23">
        <f>IF(Information!$I$12="Grain Sorghum",(0.4*Information!$K$12),0)</f>
        <v>0</v>
      </c>
      <c r="G7" s="5" t="s">
        <v>39</v>
      </c>
      <c r="H7" s="23">
        <f>IF(Information!$C$13="Grain Sorghum",(0.4*Information!$E$13),0)</f>
        <v>0</v>
      </c>
      <c r="I7" s="23">
        <f>IF(Information!$F$13="Grain Sorghum",(0.4*Information!$H$13),0)</f>
        <v>0</v>
      </c>
      <c r="J7" s="23">
        <f>IF(Information!$I$13="Grain Sorghum",(0.4*Information!$K$13),0)</f>
        <v>0</v>
      </c>
      <c r="M7" s="5" t="s">
        <v>39</v>
      </c>
      <c r="N7" s="23">
        <f>IF(Information!$C$14="Grain Sorghum",(0.4*Information!$E$14),0)</f>
        <v>0</v>
      </c>
      <c r="O7" s="23">
        <f>IF(Information!$F$14="Grain Sorghum",(0.4*Information!$H$14),0)</f>
        <v>0</v>
      </c>
      <c r="P7" s="23">
        <f>IF(Information!$I$14="Grain Sorghum",(0.4*Information!$K$14),0)</f>
        <v>0</v>
      </c>
      <c r="S7" s="5" t="s">
        <v>39</v>
      </c>
      <c r="T7" s="23">
        <f>IF(Information!$C$15="Grain Sorghum",(0.4*Information!$E$15),0)</f>
        <v>0</v>
      </c>
      <c r="U7" s="23">
        <f>IF(Information!$F$15="Grain Sorghum",(0.4*Information!$H$15),0)</f>
        <v>0</v>
      </c>
      <c r="V7" s="23">
        <f>IF(Information!$I$15="Grain Sorghum",(0.4*Information!$K$15),0)</f>
        <v>0</v>
      </c>
    </row>
    <row r="8" spans="1:23" x14ac:dyDescent="0.2">
      <c r="A8" s="5" t="s">
        <v>40</v>
      </c>
      <c r="B8" s="23">
        <f>IF(Information!$C$12="Silage-Corn",(3.2*Information!$E$12),0)</f>
        <v>0</v>
      </c>
      <c r="C8" s="23">
        <f>IF(Information!$F$12="Silage-Corn",(3.2*Information!$H$12),0)</f>
        <v>0</v>
      </c>
      <c r="D8" s="23">
        <f>IF(Information!$I$12="Silage-Corn",(3.2*Information!$K$12),0)</f>
        <v>0</v>
      </c>
      <c r="G8" s="5" t="s">
        <v>40</v>
      </c>
      <c r="H8" s="23">
        <f>IF(Information!$C$13="Silage-Corn",(3.2*Information!$E$13),0)</f>
        <v>0</v>
      </c>
      <c r="I8" s="23">
        <f>IF(Information!$F$13="Silage-Corn",(3.2*Information!$H$13),0)</f>
        <v>0</v>
      </c>
      <c r="J8" s="23">
        <f>IF(Information!$I$13="Silage-Corn",(3.2*Information!$K$13),0)</f>
        <v>0</v>
      </c>
      <c r="M8" s="5" t="s">
        <v>40</v>
      </c>
      <c r="N8" s="23">
        <f>IF(Information!$C$14="Silage-Corn",(3.2*Information!$E$14),0)</f>
        <v>0</v>
      </c>
      <c r="O8" s="23">
        <f>IF(Information!$F$14="Silage-Corn",(3.2*Information!$H$14),0)</f>
        <v>0</v>
      </c>
      <c r="P8" s="23">
        <f>IF(Information!$I$14="Silage-Corn",(3.2*Information!$K$14),0)</f>
        <v>0</v>
      </c>
      <c r="S8" s="5" t="s">
        <v>40</v>
      </c>
      <c r="T8" s="23">
        <f>IF(Information!$C$15="Silage-Corn",(3.2*Information!$E$15),0)</f>
        <v>0</v>
      </c>
      <c r="U8" s="23">
        <f>IF(Information!$F$15="Silage-Corn",(3.2*Information!$H$15),0)</f>
        <v>0</v>
      </c>
      <c r="V8" s="23">
        <f>IF(Information!$I$15="Silage-Corn",(3.2*Information!$K$15),0)</f>
        <v>0</v>
      </c>
    </row>
    <row r="9" spans="1:23" x14ac:dyDescent="0.2">
      <c r="A9" s="5" t="s">
        <v>41</v>
      </c>
      <c r="B9" s="23">
        <f>IF(Information!$C$12="Silage-Sorghum",(3.2*Information!$E$12),0)</f>
        <v>0</v>
      </c>
      <c r="C9" s="23">
        <f>IF(Information!$F$12="Silage-Sorghum",(3.2*Information!$H$12),0)</f>
        <v>0</v>
      </c>
      <c r="D9" s="23">
        <f>IF(Information!$I$12="Silage-Sorghum",(3.2*Information!$K$12),0)</f>
        <v>0</v>
      </c>
      <c r="G9" s="5" t="s">
        <v>41</v>
      </c>
      <c r="H9" s="23">
        <f>IF(Information!$C$13="Silage-Sorghum",(3.2*Information!$E$13),0)</f>
        <v>0</v>
      </c>
      <c r="I9" s="23">
        <f>IF(Information!$F$13="Silage-Sorghum",(3.2*Information!$H$13),0)</f>
        <v>0</v>
      </c>
      <c r="J9" s="23">
        <f>IF(Information!$I$13="Silage-Sorghum",(3.2*Information!$K$13),0)</f>
        <v>0</v>
      </c>
      <c r="M9" s="5" t="s">
        <v>41</v>
      </c>
      <c r="N9" s="23">
        <f>IF(Information!$C$14="Silage-Sorghum",(3.2*Information!$E$14),0)</f>
        <v>0</v>
      </c>
      <c r="O9" s="23">
        <f>IF(Information!$F$14="Silage-Sorghum",(3.2*Information!$H$14),0)</f>
        <v>0</v>
      </c>
      <c r="P9" s="23">
        <f>IF(Information!$I$14="Silage-Sorghum",(3.2*Information!$K$14),0)</f>
        <v>0</v>
      </c>
      <c r="S9" s="5" t="s">
        <v>41</v>
      </c>
      <c r="T9" s="23">
        <f>IF(Information!$C$15="Silage-Sorghum",(3.2*Information!$E$15),0)</f>
        <v>0</v>
      </c>
      <c r="U9" s="23">
        <f>IF(Information!$F$15="Silage-Sorghum",(3.2*Information!$H$15),0)</f>
        <v>0</v>
      </c>
      <c r="V9" s="23">
        <f>IF(Information!$I$15="Silage-Sorghum",(3.2*Information!$K$15),0)</f>
        <v>0</v>
      </c>
    </row>
    <row r="10" spans="1:23" x14ac:dyDescent="0.2">
      <c r="A10" s="5" t="s">
        <v>42</v>
      </c>
      <c r="B10" s="23">
        <f>IF(Information!$C$12="Sunflower",(0.015*Information!$E$12),0)</f>
        <v>0</v>
      </c>
      <c r="C10" s="23">
        <f>IF(Information!$F$12="Sunflower",(0.015*Information!$H$12),0)</f>
        <v>0</v>
      </c>
      <c r="D10" s="23">
        <f>IF(Information!$I$12="Sunflower",(0.015*Information!$K$12),0)</f>
        <v>0</v>
      </c>
      <c r="G10" s="5" t="s">
        <v>42</v>
      </c>
      <c r="H10" s="23">
        <f>IF(Information!$C$13="Sunflower",(0.015*Information!$E$13),0)</f>
        <v>0</v>
      </c>
      <c r="I10" s="23">
        <f>IF(Information!$F$13="Sunflower",(0.015*Information!$H$13),0)</f>
        <v>0</v>
      </c>
      <c r="J10" s="23">
        <f>IF(Information!$I$13="Sunflower",(0.015*Information!$K$13),0)</f>
        <v>0</v>
      </c>
      <c r="M10" s="5" t="s">
        <v>42</v>
      </c>
      <c r="N10" s="23">
        <f>IF(Information!$C$14="Sunflower",(0.015*Information!$E$14),0)</f>
        <v>0</v>
      </c>
      <c r="O10" s="23">
        <f>IF(Information!$F$14="Sunflower",(0.015*Information!$H$14),0)</f>
        <v>0</v>
      </c>
      <c r="P10" s="23">
        <f>IF(Information!$I$14="Sunflower",(0.015*Information!$K$14),0)</f>
        <v>0</v>
      </c>
      <c r="S10" s="5" t="s">
        <v>42</v>
      </c>
      <c r="T10" s="23">
        <f>IF(Information!$C$15="Sunflower",(0.015*Information!$E$15),0)</f>
        <v>0</v>
      </c>
      <c r="U10" s="23">
        <f>IF(Information!$F$15="Sunflower",(0.015*Information!$H$15),0)</f>
        <v>0</v>
      </c>
      <c r="V10" s="23">
        <f>IF(Information!$I$15="Sunflower",(0.015*Information!$K$15),0)</f>
        <v>0</v>
      </c>
    </row>
    <row r="11" spans="1:23" x14ac:dyDescent="0.2">
      <c r="A11" s="5" t="s">
        <v>43</v>
      </c>
      <c r="B11" s="23">
        <f>IF(Information!$C$12="Oats",(0.25*Information!$E$12),0)</f>
        <v>0</v>
      </c>
      <c r="C11" s="23">
        <f>IF(Information!$F$12="Oats",(0.25*Information!$H$12),0)</f>
        <v>0</v>
      </c>
      <c r="D11" s="23">
        <f>IF(Information!$I$12="Oats",(0.25*Information!$K$12),0)</f>
        <v>0</v>
      </c>
      <c r="G11" s="5" t="s">
        <v>43</v>
      </c>
      <c r="H11" s="23">
        <f>IF(Information!$C$13="Oats",(0.25*Information!$E$13),0)</f>
        <v>0</v>
      </c>
      <c r="I11" s="23">
        <f>IF(Information!$F$13="Oats",(0.25*Information!$H$13),0)</f>
        <v>0</v>
      </c>
      <c r="J11" s="23">
        <f>IF(Information!$I$13="Oats",(0.25*Information!$K$13),0)</f>
        <v>0</v>
      </c>
      <c r="M11" s="5" t="s">
        <v>43</v>
      </c>
      <c r="N11" s="23">
        <f>IF(Information!$C$14="Oats",(0.25*Information!$E$14),0)</f>
        <v>0</v>
      </c>
      <c r="O11" s="23">
        <f>IF(Information!$F$14="Oats",(0.25*Information!$H$14),0)</f>
        <v>0</v>
      </c>
      <c r="P11" s="23">
        <f>IF(Information!$I$14="Oats",(0.25*Information!$K$14),0)</f>
        <v>0</v>
      </c>
      <c r="S11" s="5" t="s">
        <v>43</v>
      </c>
      <c r="T11" s="23">
        <f>IF(Information!$C$15="Oats",(0.25*Information!$E$15),0)</f>
        <v>0</v>
      </c>
      <c r="U11" s="23">
        <f>IF(Information!$F$15="Oats",(0.25*Information!$H$15),0)</f>
        <v>0</v>
      </c>
      <c r="V11" s="23">
        <f>IF(Information!$I$15="Oats",(0.25*Information!$K$15),0)</f>
        <v>0</v>
      </c>
    </row>
    <row r="12" spans="1:23" x14ac:dyDescent="0.2">
      <c r="A12" s="5" t="s">
        <v>32</v>
      </c>
      <c r="B12" s="23">
        <f>IF(Information!$C$12="Soybeans",(0.8*Information!$E$12),0)</f>
        <v>0</v>
      </c>
      <c r="C12" s="23">
        <f>IF(Information!$F$12="Soybeans",(0.8*Information!$H$12),0)</f>
        <v>0</v>
      </c>
      <c r="D12" s="23">
        <f>IF(Information!$I$12="Soybeans",(0.8*Information!$K$12),0)</f>
        <v>0</v>
      </c>
      <c r="G12" s="5" t="s">
        <v>32</v>
      </c>
      <c r="H12" s="23">
        <f>IF(Information!$C$13="Soybeans",(0.8*Information!$E$13),0)</f>
        <v>0</v>
      </c>
      <c r="I12" s="23">
        <f>IF(Information!$F$13="Soybeans",(0.8*Information!$H$13),0)</f>
        <v>0</v>
      </c>
      <c r="J12" s="23">
        <f>IF(Information!$I$13="Soybeans",(0.8*Information!$K$13),0)</f>
        <v>0</v>
      </c>
      <c r="M12" s="5" t="s">
        <v>32</v>
      </c>
      <c r="N12" s="23">
        <f>IF(Information!$C$14="Soybeans",(0.8*Information!$E$14),0)</f>
        <v>0</v>
      </c>
      <c r="O12" s="23">
        <f>IF(Information!$F$14="Soybeans",(0.8*Information!$H$14),0)</f>
        <v>0</v>
      </c>
      <c r="P12" s="23">
        <f>IF(Information!$I$14="Soybeans",(0.8*Information!$K$14),0)</f>
        <v>0</v>
      </c>
      <c r="S12" s="5" t="s">
        <v>32</v>
      </c>
      <c r="T12" s="23">
        <f>IF(Information!$C$15="Soybeans",(0.8*Information!$E$15),0)</f>
        <v>0</v>
      </c>
      <c r="U12" s="23">
        <f>IF(Information!$F$15="Soybeans",(0.8*Information!$H$15),0)</f>
        <v>0</v>
      </c>
      <c r="V12" s="23">
        <f>IF(Information!$I$15="Soybeans",(0.8*Information!$K$15),0)</f>
        <v>0</v>
      </c>
    </row>
    <row r="13" spans="1:23" ht="13.5" thickBot="1" x14ac:dyDescent="0.25">
      <c r="A13" s="12" t="s">
        <v>49</v>
      </c>
      <c r="B13" s="28">
        <f>IF(Information!$C$12="Alfalfa",(12*Information!$E$12),0)</f>
        <v>0</v>
      </c>
      <c r="C13" s="28">
        <f>IF(Information!$F$12="Alfalfa",(12*Information!$H$12),0)</f>
        <v>0</v>
      </c>
      <c r="D13" s="28">
        <f>IF(Information!$I$12="Alfalfa",(12*Information!$K$12),0)</f>
        <v>0</v>
      </c>
      <c r="G13" s="12" t="s">
        <v>49</v>
      </c>
      <c r="H13" s="28">
        <f>IF(Information!$C$13="Alfalfa",(12*Information!$E$13),0)</f>
        <v>0</v>
      </c>
      <c r="I13" s="28">
        <f>IF(Information!$F$13="Alfalfa",(12*Information!$H$13),0)</f>
        <v>0</v>
      </c>
      <c r="J13" s="28">
        <f>IF(Information!$I$13="Alfalfa",(12*Information!$K$13),0)</f>
        <v>0</v>
      </c>
      <c r="M13" s="12" t="s">
        <v>49</v>
      </c>
      <c r="N13" s="28">
        <f>IF(Information!$C$14="Alfalfa",(12*Information!$E$14),0)</f>
        <v>0</v>
      </c>
      <c r="O13" s="28">
        <f>IF(Information!$F$14="Alfalfa",(12*Information!$H$14),0)</f>
        <v>0</v>
      </c>
      <c r="P13" s="28">
        <f>IF(Information!$I$14="Alfalfa",(12*Information!$K$14),0)</f>
        <v>0</v>
      </c>
      <c r="S13" s="12" t="s">
        <v>49</v>
      </c>
      <c r="T13" s="28">
        <f>IF(Information!$C$15="Alfalfa",(12*Information!$E$15),0)</f>
        <v>0</v>
      </c>
      <c r="U13" s="28">
        <f>IF(Information!$F$15="Alfalfa",(12*Information!$H$15),0)</f>
        <v>0</v>
      </c>
      <c r="V13" s="28">
        <f>IF(Information!$I$15="Alfalfa",(12*Information!$K$15),0)</f>
        <v>0</v>
      </c>
    </row>
    <row r="14" spans="1:23" s="32" customFormat="1" ht="14.25" thickTop="1" thickBot="1" x14ac:dyDescent="0.25">
      <c r="B14" s="31">
        <f>SUM(B5:B13)</f>
        <v>0</v>
      </c>
      <c r="C14" s="31">
        <f>SUM(C5:C13)</f>
        <v>0</v>
      </c>
      <c r="D14" s="31">
        <f>SUM(D5:D13)</f>
        <v>0</v>
      </c>
      <c r="E14" s="148"/>
      <c r="H14" s="31">
        <f>SUM(H5:H13)</f>
        <v>0</v>
      </c>
      <c r="I14" s="31">
        <f>SUM(I5:I13)</f>
        <v>0</v>
      </c>
      <c r="J14" s="31">
        <f>SUM(J5:J13)</f>
        <v>0</v>
      </c>
      <c r="K14" s="163"/>
      <c r="N14" s="31">
        <f>SUM(N5:N13)</f>
        <v>0</v>
      </c>
      <c r="O14" s="31">
        <f>SUM(O5:O13)</f>
        <v>0</v>
      </c>
      <c r="P14" s="31">
        <f>SUM(P5:P13)</f>
        <v>0</v>
      </c>
      <c r="Q14" s="163"/>
      <c r="T14" s="31">
        <f>SUM(T5:T13)</f>
        <v>0</v>
      </c>
      <c r="U14" s="31">
        <f>SUM(U5:U13)</f>
        <v>0</v>
      </c>
      <c r="V14" s="31">
        <f>SUM(V5:V13)</f>
        <v>0</v>
      </c>
      <c r="W14" s="163"/>
    </row>
    <row r="15" spans="1:23" x14ac:dyDescent="0.2">
      <c r="C15" s="162"/>
    </row>
    <row r="16" spans="1:23" ht="14.25" x14ac:dyDescent="0.25">
      <c r="A16" s="5" t="s">
        <v>282</v>
      </c>
    </row>
    <row r="17" spans="1:22" x14ac:dyDescent="0.2">
      <c r="A17" s="27"/>
      <c r="B17" s="167">
        <f>IF($B$14=0,0,IF(Information!$C$12="Alfalfa",((((25-Information!$G$20)*18)/Information!$L$9)+$B$14),((((20-Information!$G$20)*18)/Information!$L$9)+$B$14)))</f>
        <v>0</v>
      </c>
      <c r="C17" s="167">
        <f>IF($C$14=0,0,IF(Information!$F$12="Alfalfa",((((25-Information!$G$20)*18)/Information!$L$9)+$C$14),((((20-Information!$G$20)*18)/Information!$L$9)+$C$14)))</f>
        <v>0</v>
      </c>
      <c r="D17" s="167">
        <f>IF($D$14=0,0,IF(Information!$I$12="Alfalfa",((((25-Information!$G$20)*18)/Information!$L$9)+$D$14),((((20-Information!$G$20)*18)/Information!$L$9)+$D$14)))</f>
        <v>0</v>
      </c>
      <c r="E17" s="18"/>
      <c r="F17" s="18"/>
      <c r="H17" s="167">
        <f>IF($H$14=0,0,IF(Information!$C$13="Alfalfa",((((25-Information!$G$21)*18)/Information!$L$9)+$H$14),((((20-Information!$G$21)*18)/Information!$L$9)+$H$14)))</f>
        <v>0</v>
      </c>
      <c r="I17" s="167">
        <f>IF($I$14=0,0,IF(Information!$F$13="Alfalfa",((((25-Information!$G$21)*18)/Information!$L$9)+$I$14),((((20-Information!$G$21)*18)/Information!$L$9)+$I$14)))</f>
        <v>0</v>
      </c>
      <c r="J17" s="167">
        <f>IF($J$14=0,0,IF(Information!$I$13="Alfalfa",((((25-Information!$G$21)*18)/Information!$L$9)+$J$14),((((20-Information!$G$21)*18)/Information!$L$9)+$J$14)))</f>
        <v>0</v>
      </c>
      <c r="N17" s="167">
        <f>IF($N$14=0,0,IF(Information!$C$14="Alfalfa",((((25-Information!$G$22)*18)/Information!$L$9)+$N$14),((((20-Information!$G$22)*18)/Information!$L$9)+$N$14)))</f>
        <v>0</v>
      </c>
      <c r="O17" s="167">
        <f>IF($O$14=0,0,IF(Information!$F$14="Alfalfa",((((25-Information!$G$22)*18)/Information!$L$9)+$O$14),((((20-Information!$G$22)*18)/Information!$L$9)+$O$14)))</f>
        <v>0</v>
      </c>
      <c r="P17" s="167">
        <f>IF($P$14=0,0,IF(Information!$I$14="Alfalfa",((((25-Information!$G$22)*18)/Information!$L$9)+$P$14),((((20-Information!$G$22)*18)/Information!$L$9)+$P$14)))</f>
        <v>0</v>
      </c>
      <c r="T17" s="167">
        <f>IF($T$14=0,0,IF(Information!$C$15="Alfalfa",((((25-Information!$G$23)*18)/Information!$L$9)+$T$14),((((20-Information!$G$23)*18)/Information!$L$9)+$T$14)))</f>
        <v>0</v>
      </c>
      <c r="U17" s="167">
        <f>IF($U$14=0,0,IF(Information!$F$15="Alfalfa",((((25-Information!$G$23)*18)/Information!$L$9)+$U$14),((((20-Information!$G$23)*18)/Information!$L$9)+$U$14)))</f>
        <v>0</v>
      </c>
      <c r="V17" s="167">
        <f>IF($V$14=0,0,IF(Information!$I$15="Alfalfa",((((25-Information!$G$23)*18)/Information!$L$9)+$V$14),((((20-Information!$G$23)*18)/Information!$L$9)+$V$14)))</f>
        <v>0</v>
      </c>
    </row>
    <row r="18" spans="1:22" x14ac:dyDescent="0.2">
      <c r="A18" s="5"/>
      <c r="B18" s="23"/>
      <c r="C18" s="23"/>
      <c r="D18" s="23"/>
      <c r="E18" s="23"/>
      <c r="F18" s="23"/>
      <c r="G18" s="23"/>
      <c r="H18" s="23"/>
      <c r="I18" s="23"/>
      <c r="J18" s="23"/>
    </row>
    <row r="19" spans="1:22" ht="14.25" x14ac:dyDescent="0.25">
      <c r="A19" s="5" t="s">
        <v>305</v>
      </c>
      <c r="K19" s="3"/>
    </row>
    <row r="20" spans="1:22" s="7" customFormat="1" x14ac:dyDescent="0.2">
      <c r="B20" s="169">
        <f>MROUND(IF($B$17&gt;0,$B$17,0),5)</f>
        <v>0</v>
      </c>
      <c r="C20" s="169">
        <f>MROUND(IF($C$17&gt;0,$C$17,0),5)</f>
        <v>0</v>
      </c>
      <c r="D20" s="169">
        <f>MROUND(IF($D$17&gt;0,$D$17,0),5)</f>
        <v>0</v>
      </c>
      <c r="H20" s="169">
        <f>MROUND(IF($H$17&gt;0,$H$17,0),5)</f>
        <v>0</v>
      </c>
      <c r="I20" s="169">
        <f>MROUND(IF($I$17&gt;0,$I$17,0),5)</f>
        <v>0</v>
      </c>
      <c r="J20" s="169">
        <f>MROUND(IF($J$17&gt;0,$J$17,0),5)</f>
        <v>0</v>
      </c>
      <c r="N20" s="169">
        <f>MROUND(IF($N$17&gt;0,$N$17,0),5)</f>
        <v>0</v>
      </c>
      <c r="O20" s="169">
        <f>MROUND(IF($O$17&gt;0,$O$17,0),5)</f>
        <v>0</v>
      </c>
      <c r="P20" s="169">
        <f>MROUND(IF($P$17&gt;0,$P$17,0),5)</f>
        <v>0</v>
      </c>
      <c r="T20" s="169">
        <f>MROUND(IF($T$17&gt;0,$T$17,0),5)</f>
        <v>0</v>
      </c>
      <c r="U20" s="169">
        <f>MROUND(IF($U$17&gt;0,$U$17,0),5)</f>
        <v>0</v>
      </c>
      <c r="V20" s="169">
        <f>MROUND(IF($V$17&gt;0,$V$17,0),5)</f>
        <v>0</v>
      </c>
    </row>
    <row r="21" spans="1:22" x14ac:dyDescent="0.2">
      <c r="A21" s="5"/>
    </row>
    <row r="22" spans="1:22" x14ac:dyDescent="0.2">
      <c r="A22" s="5"/>
    </row>
    <row r="23" spans="1:22" x14ac:dyDescent="0.2">
      <c r="A23" s="5"/>
    </row>
    <row r="24" spans="1:22" x14ac:dyDescent="0.2">
      <c r="A24" s="5"/>
    </row>
    <row r="25" spans="1:22" x14ac:dyDescent="0.2">
      <c r="A25" s="5"/>
    </row>
    <row r="26" spans="1:22" x14ac:dyDescent="0.2">
      <c r="A26" s="5"/>
    </row>
    <row r="27" spans="1:22" x14ac:dyDescent="0.2">
      <c r="A27" s="5"/>
    </row>
    <row r="28" spans="1:22" x14ac:dyDescent="0.2">
      <c r="A28" s="5"/>
    </row>
    <row r="29" spans="1:22" x14ac:dyDescent="0.2">
      <c r="A29" s="5"/>
    </row>
    <row r="30" spans="1:22" x14ac:dyDescent="0.2">
      <c r="A30" s="6"/>
    </row>
  </sheetData>
  <mergeCells count="8">
    <mergeCell ref="M1:P1"/>
    <mergeCell ref="M2:P2"/>
    <mergeCell ref="S1:V1"/>
    <mergeCell ref="S2:V2"/>
    <mergeCell ref="A1:D1"/>
    <mergeCell ref="A2:D2"/>
    <mergeCell ref="G1:J1"/>
    <mergeCell ref="G2:J2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W30"/>
  <sheetViews>
    <sheetView zoomScale="85" workbookViewId="0">
      <selection activeCell="A17" sqref="A17"/>
    </sheetView>
  </sheetViews>
  <sheetFormatPr defaultRowHeight="12.75" x14ac:dyDescent="0.2"/>
  <cols>
    <col min="1" max="1" width="18.85546875" customWidth="1"/>
    <col min="2" max="11" width="14.28515625" customWidth="1"/>
    <col min="13" max="13" width="17.140625" bestFit="1" customWidth="1"/>
    <col min="14" max="14" width="11" bestFit="1" customWidth="1"/>
    <col min="15" max="15" width="13.85546875" bestFit="1" customWidth="1"/>
    <col min="16" max="16" width="11.7109375" bestFit="1" customWidth="1"/>
    <col min="19" max="19" width="17.140625" bestFit="1" customWidth="1"/>
    <col min="20" max="20" width="11" bestFit="1" customWidth="1"/>
    <col min="21" max="21" width="13.85546875" bestFit="1" customWidth="1"/>
    <col min="22" max="22" width="11.7109375" bestFit="1" customWidth="1"/>
  </cols>
  <sheetData>
    <row r="1" spans="1:23" ht="21.75" thickBot="1" x14ac:dyDescent="0.4">
      <c r="A1" s="244" t="s">
        <v>301</v>
      </c>
      <c r="B1" s="244"/>
      <c r="C1" s="244"/>
      <c r="D1" s="244"/>
      <c r="G1" s="244" t="s">
        <v>301</v>
      </c>
      <c r="H1" s="244"/>
      <c r="I1" s="244"/>
      <c r="J1" s="244"/>
      <c r="M1" s="244" t="s">
        <v>301</v>
      </c>
      <c r="N1" s="244"/>
      <c r="O1" s="244"/>
      <c r="P1" s="244"/>
      <c r="S1" s="244" t="s">
        <v>301</v>
      </c>
      <c r="T1" s="244"/>
      <c r="U1" s="244"/>
      <c r="V1" s="244"/>
    </row>
    <row r="2" spans="1:23" ht="18.75" customHeight="1" thickTop="1" x14ac:dyDescent="0.25">
      <c r="A2" s="245" t="s">
        <v>296</v>
      </c>
      <c r="B2" s="245"/>
      <c r="C2" s="245"/>
      <c r="D2" s="245"/>
      <c r="E2" s="30"/>
      <c r="F2" s="30"/>
      <c r="G2" s="245" t="s">
        <v>299</v>
      </c>
      <c r="H2" s="245"/>
      <c r="I2" s="245"/>
      <c r="J2" s="245"/>
      <c r="K2" s="30"/>
      <c r="M2" s="245" t="s">
        <v>298</v>
      </c>
      <c r="N2" s="245"/>
      <c r="O2" s="245"/>
      <c r="P2" s="245"/>
      <c r="Q2" s="30"/>
      <c r="S2" s="245" t="s">
        <v>297</v>
      </c>
      <c r="T2" s="245"/>
      <c r="U2" s="245"/>
      <c r="V2" s="245"/>
      <c r="W2" s="30"/>
    </row>
    <row r="3" spans="1:23" ht="15" thickBot="1" x14ac:dyDescent="0.3">
      <c r="A3" s="8" t="s">
        <v>302</v>
      </c>
      <c r="B3" s="9" t="s">
        <v>281</v>
      </c>
      <c r="C3" s="9" t="s">
        <v>6</v>
      </c>
      <c r="D3" s="9" t="s">
        <v>7</v>
      </c>
      <c r="E3" s="3"/>
      <c r="F3" s="3"/>
      <c r="G3" s="8" t="s">
        <v>302</v>
      </c>
      <c r="H3" s="9" t="s">
        <v>281</v>
      </c>
      <c r="I3" s="9" t="s">
        <v>6</v>
      </c>
      <c r="J3" s="9" t="s">
        <v>7</v>
      </c>
      <c r="K3" s="3"/>
      <c r="M3" s="8" t="s">
        <v>302</v>
      </c>
      <c r="N3" s="9" t="s">
        <v>281</v>
      </c>
      <c r="O3" s="9" t="s">
        <v>6</v>
      </c>
      <c r="P3" s="9" t="s">
        <v>7</v>
      </c>
      <c r="Q3" s="3"/>
      <c r="S3" s="8" t="s">
        <v>302</v>
      </c>
      <c r="T3" s="9" t="s">
        <v>281</v>
      </c>
      <c r="U3" s="9" t="s">
        <v>6</v>
      </c>
      <c r="V3" s="9" t="s">
        <v>7</v>
      </c>
      <c r="W3" s="3"/>
    </row>
    <row r="5" spans="1:23" x14ac:dyDescent="0.2">
      <c r="A5" s="5" t="s">
        <v>30</v>
      </c>
      <c r="B5" s="23">
        <f>IF(Information!$C$12="Corn",(0.26*Information!$E$12),0)</f>
        <v>0</v>
      </c>
      <c r="C5" s="23">
        <f>IF(Information!$F$12="Corn",(0.26*Information!$H$12),0)</f>
        <v>0</v>
      </c>
      <c r="D5" s="23">
        <f>IF(Information!$I$12="Corn",(0.26*Information!$K$12),0)</f>
        <v>0</v>
      </c>
      <c r="G5" s="5" t="s">
        <v>30</v>
      </c>
      <c r="H5" s="23">
        <f>IF(Information!$C$13="Corn",(0.26*Information!$E$13),0)</f>
        <v>0</v>
      </c>
      <c r="I5" s="23">
        <f>IF(Information!$F$13="Corn",(0.26*Information!$H$13),0)</f>
        <v>0</v>
      </c>
      <c r="J5" s="23">
        <f>IF(Information!$I$13="Corn",(0.26*Information!$K$13),0)</f>
        <v>0</v>
      </c>
      <c r="M5" s="5" t="s">
        <v>30</v>
      </c>
      <c r="N5" s="23">
        <f>IF(Information!$C$14="Corn",(0.26*Information!$E$14),0)</f>
        <v>0</v>
      </c>
      <c r="O5" s="23">
        <f>IF(Information!$F$14="Corn",(0.26*Information!$H$14),0)</f>
        <v>0</v>
      </c>
      <c r="P5" s="23">
        <f>IF(Information!$I$14="Corn",(0.26*Information!$K$14),0)</f>
        <v>0</v>
      </c>
      <c r="S5" s="5" t="s">
        <v>30</v>
      </c>
      <c r="T5" s="23">
        <f>IF(Information!$C$15="Corn",(0.26*Information!$E$15),0)</f>
        <v>0</v>
      </c>
      <c r="U5" s="23">
        <f>IF(Information!$F$15="Corn",(0.26*Information!$H$15),0)</f>
        <v>0</v>
      </c>
      <c r="V5" s="23">
        <f>IF(Information!$I$15="Corn",(0.26*Information!$K$15),0)</f>
        <v>0</v>
      </c>
    </row>
    <row r="6" spans="1:23" x14ac:dyDescent="0.2">
      <c r="A6" s="5" t="s">
        <v>38</v>
      </c>
      <c r="B6" s="23">
        <f>IF(Information!$C$12="Wheat",(0.3*Information!$E$12),0)</f>
        <v>0</v>
      </c>
      <c r="C6" s="23">
        <f>IF(Information!$F$12="Wheat",(0.3*Information!$H$12),0)</f>
        <v>0</v>
      </c>
      <c r="D6" s="23">
        <f>IF(Information!$I$12="Wheat",(0.3*Information!$K$12),0)</f>
        <v>0</v>
      </c>
      <c r="G6" s="5" t="s">
        <v>38</v>
      </c>
      <c r="H6" s="23">
        <f>IF(Information!$C$13="Wheat",(0.3*Information!$E$13),0)</f>
        <v>0</v>
      </c>
      <c r="I6" s="23">
        <f>IF(Information!$F$13="Wheat",(0.3*Information!$H$13),0)</f>
        <v>0</v>
      </c>
      <c r="J6" s="23">
        <f>IF(Information!$I$13="Wheat",(0.3*Information!$K$13),0)</f>
        <v>0</v>
      </c>
      <c r="M6" s="5" t="s">
        <v>38</v>
      </c>
      <c r="N6" s="23">
        <f>IF(Information!$C$14="Wheat",(0.3*Information!$E$14),0)</f>
        <v>0</v>
      </c>
      <c r="O6" s="23">
        <f>IF(Information!$F$14="Wheat",(0.3*Information!$H$14),0)</f>
        <v>0</v>
      </c>
      <c r="P6" s="23">
        <f>IF(Information!$I$14="Wheat",(0.3*Information!$K$14),0)</f>
        <v>0</v>
      </c>
      <c r="S6" s="5" t="s">
        <v>38</v>
      </c>
      <c r="T6" s="23">
        <f>IF(Information!$C$15="Wheat",(0.3*Information!$E$15),0)</f>
        <v>0</v>
      </c>
      <c r="U6" s="23">
        <f>IF(Information!$F$15="Wheat",(0.3*Information!$H$15),0)</f>
        <v>0</v>
      </c>
      <c r="V6" s="23">
        <f>IF(Information!$I$15="Wheat",(0.3*Information!$K$15),0)</f>
        <v>0</v>
      </c>
    </row>
    <row r="7" spans="1:23" x14ac:dyDescent="0.2">
      <c r="A7" s="5" t="s">
        <v>39</v>
      </c>
      <c r="B7" s="23">
        <f>IF(Information!$C$12="Grain Sorghum",(0.26*Information!$E$12),0)</f>
        <v>0</v>
      </c>
      <c r="C7" s="23">
        <f>IF(Information!$F$12="Grain Sorghum",(0.26*Information!$H$12),0)</f>
        <v>0</v>
      </c>
      <c r="D7" s="23">
        <f>IF(Information!$I$12="Grain Sorghum",(0.26*Information!$K$12),0)</f>
        <v>0</v>
      </c>
      <c r="G7" s="5" t="s">
        <v>39</v>
      </c>
      <c r="H7" s="23">
        <f>IF(Information!$C$13="Grain Sorghum",(0.26*Information!$E$13),0)</f>
        <v>0</v>
      </c>
      <c r="I7" s="23">
        <f>IF(Information!$F$13="Grain Sorghum",(0.26*Information!$H$13),0)</f>
        <v>0</v>
      </c>
      <c r="J7" s="23">
        <f>IF(Information!$I$13="Grain Sorghum",(0.26*Information!$K$13),0)</f>
        <v>0</v>
      </c>
      <c r="M7" s="5" t="s">
        <v>39</v>
      </c>
      <c r="N7" s="23">
        <f>IF(Information!$C$14="Grain Sorghum",(0.26*Information!$E$14),0)</f>
        <v>0</v>
      </c>
      <c r="O7" s="23">
        <f>IF(Information!$F$14="Grain Sorghum",(0.26*Information!$H$14),0)</f>
        <v>0</v>
      </c>
      <c r="P7" s="23">
        <f>IF(Information!$I$14="Grain Sorghum",(0.26*Information!$K$14),0)</f>
        <v>0</v>
      </c>
      <c r="S7" s="5" t="s">
        <v>39</v>
      </c>
      <c r="T7" s="23">
        <f>IF(Information!$C$15="Grain Sorghum",(0.26*Information!$E$15),0)</f>
        <v>0</v>
      </c>
      <c r="U7" s="23">
        <f>IF(Information!$F$15="Grain Sorghum",(0.26*Information!$H$15),0)</f>
        <v>0</v>
      </c>
      <c r="V7" s="23">
        <f>IF(Information!$I$15="Grain Sorghum",(0.26*Information!$K$15),0)</f>
        <v>0</v>
      </c>
    </row>
    <row r="8" spans="1:23" x14ac:dyDescent="0.2">
      <c r="A8" s="5" t="s">
        <v>40</v>
      </c>
      <c r="B8" s="23">
        <f>IF(Information!$C$12="Silage-Corn",(8.7*Information!$E$12),0)</f>
        <v>0</v>
      </c>
      <c r="C8" s="23">
        <f>IF(Information!$F$12="Silage-Corn",(8.7*Information!$H$12),0)</f>
        <v>0</v>
      </c>
      <c r="D8" s="23">
        <f>IF(Information!$I$12="Silage-Corn",(8.7*Information!$K$12),0)</f>
        <v>0</v>
      </c>
      <c r="G8" s="5" t="s">
        <v>40</v>
      </c>
      <c r="H8" s="23">
        <f>IF(Information!$C$13="Silage-Corn",(8.7*Information!$E$13),0)</f>
        <v>0</v>
      </c>
      <c r="I8" s="23">
        <f>IF(Information!$F$13="Silage-Corn",(8.7*Information!$H$13),0)</f>
        <v>0</v>
      </c>
      <c r="J8" s="23">
        <f>IF(Information!$I$13="Silage-Corn",(8.7*Information!$K$13),0)</f>
        <v>0</v>
      </c>
      <c r="M8" s="5" t="s">
        <v>40</v>
      </c>
      <c r="N8" s="23">
        <f>IF(Information!$C$14="Silage-Corn",(8.7*Information!$E$14),0)</f>
        <v>0</v>
      </c>
      <c r="O8" s="23">
        <f>IF(Information!$F$14="Silage-Corn",(8.7*Information!$H$14),0)</f>
        <v>0</v>
      </c>
      <c r="P8" s="23">
        <f>IF(Information!$I$14="Silage-Corn",(8.7*Information!$K$14),0)</f>
        <v>0</v>
      </c>
      <c r="S8" s="5" t="s">
        <v>40</v>
      </c>
      <c r="T8" s="23">
        <f>IF(Information!$C$15="Silage-Corn",(8.7*Information!$E$15),0)</f>
        <v>0</v>
      </c>
      <c r="U8" s="23">
        <f>IF(Information!$F$15="Silage-Corn",(8.7*Information!$H$15),0)</f>
        <v>0</v>
      </c>
      <c r="V8" s="23">
        <f>IF(Information!$I$15="Silage-Corn",(8.7*Information!$K$15),0)</f>
        <v>0</v>
      </c>
    </row>
    <row r="9" spans="1:23" x14ac:dyDescent="0.2">
      <c r="A9" s="5" t="s">
        <v>41</v>
      </c>
      <c r="B9" s="23">
        <f>IF(Information!$C$12="Silage-Sorghum",(8.7*Information!$E$12),0)</f>
        <v>0</v>
      </c>
      <c r="C9" s="23">
        <f>IF(Information!$F$12="Silage-Sorghum",(8.7*Information!$H$12),0)</f>
        <v>0</v>
      </c>
      <c r="D9" s="23">
        <f>IF(Information!$I$12="Silage-Sorghum",(8.7*Information!$K$12),0)</f>
        <v>0</v>
      </c>
      <c r="G9" s="5" t="s">
        <v>41</v>
      </c>
      <c r="H9" s="23">
        <f>IF(Information!$C$13="Silage-Sorghum",(8.7*Information!$E$13),0)</f>
        <v>0</v>
      </c>
      <c r="I9" s="23">
        <f>IF(Information!$F$13="Silage-Sorghum",(8.7*Information!$H$13),0)</f>
        <v>0</v>
      </c>
      <c r="J9" s="23">
        <f>IF(Information!$I$13="Silage-Sorghum",(8.7*Information!$K$13),0)</f>
        <v>0</v>
      </c>
      <c r="M9" s="5" t="s">
        <v>41</v>
      </c>
      <c r="N9" s="23">
        <f>IF(Information!$C$14="Silage-Sorghum",(8.7*Information!$E$14),0)</f>
        <v>0</v>
      </c>
      <c r="O9" s="23">
        <f>IF(Information!$F$14="Silage-Sorghum",(8.7*Information!$H$14),0)</f>
        <v>0</v>
      </c>
      <c r="P9" s="23">
        <f>IF(Information!$I$14="Silage-Sorghum",(8.7*Information!$K$14),0)</f>
        <v>0</v>
      </c>
      <c r="S9" s="5" t="s">
        <v>41</v>
      </c>
      <c r="T9" s="23">
        <f>IF(Information!$C$15="Silage-Sorghum",(8.7*Information!$E$15),0)</f>
        <v>0</v>
      </c>
      <c r="U9" s="23">
        <f>IF(Information!$F$15="Silage-Sorghum",(8.7*Information!$H$15),0)</f>
        <v>0</v>
      </c>
      <c r="V9" s="23">
        <f>IF(Information!$I$15="Silage-Sorghum",(8.7*Information!$K$15),0)</f>
        <v>0</v>
      </c>
    </row>
    <row r="10" spans="1:23" x14ac:dyDescent="0.2">
      <c r="A10" s="5" t="s">
        <v>42</v>
      </c>
      <c r="B10" s="23">
        <f>IF(Information!$C$12="Sunflower",(0.006*Information!$E$12),0)</f>
        <v>0</v>
      </c>
      <c r="C10" s="23">
        <f>IF(Information!$F$12="Sunflower",(0.006*Information!$H$12),0)</f>
        <v>0</v>
      </c>
      <c r="D10" s="23">
        <f>IF(Information!$I$12="Sunflower",(0.006*Information!$K$12),0)</f>
        <v>0</v>
      </c>
      <c r="G10" s="5" t="s">
        <v>42</v>
      </c>
      <c r="H10" s="23">
        <f>IF(Information!$C$13="Sunflower",(0.006*Information!$E$13),0)</f>
        <v>0</v>
      </c>
      <c r="I10" s="23">
        <f>IF(Information!$F$13="Sunflower",(0.006*Information!$H$13),0)</f>
        <v>0</v>
      </c>
      <c r="J10" s="23">
        <f>IF(Information!$I$13="Sunflower",(0.006*Information!$K$13),0)</f>
        <v>0</v>
      </c>
      <c r="M10" s="5" t="s">
        <v>42</v>
      </c>
      <c r="N10" s="23">
        <f>IF(Information!$C$14="Sunflower",(0.006*Information!$E$14),0)</f>
        <v>0</v>
      </c>
      <c r="O10" s="23">
        <f>IF(Information!$F$14="Sunflower",(0.006*Information!$H$14),0)</f>
        <v>0</v>
      </c>
      <c r="P10" s="23">
        <f>IF(Information!$I$14="Sunflower",(0.006*Information!$K$14),0)</f>
        <v>0</v>
      </c>
      <c r="S10" s="5" t="s">
        <v>42</v>
      </c>
      <c r="T10" s="23">
        <f>IF(Information!$C$15="Sunflower",(0.006*Information!$E$15),0)</f>
        <v>0</v>
      </c>
      <c r="U10" s="23">
        <f>IF(Information!$F$15="Sunflower",(0.006*Information!$H$15),0)</f>
        <v>0</v>
      </c>
      <c r="V10" s="23">
        <f>IF(Information!$I$15="Sunflower",(0.006*Information!$K$15),0)</f>
        <v>0</v>
      </c>
    </row>
    <row r="11" spans="1:23" x14ac:dyDescent="0.2">
      <c r="A11" s="5" t="s">
        <v>43</v>
      </c>
      <c r="B11" s="23">
        <f>IF(Information!$C$12="Oats",(0.2*Information!$E$12),0)</f>
        <v>0</v>
      </c>
      <c r="C11" s="23">
        <f>IF(Information!$F$12="Oats",(0.2*Information!$H$12),0)</f>
        <v>0</v>
      </c>
      <c r="D11" s="23">
        <f>IF(Information!$I$12="Oats",(0.2*Information!$K$12),0)</f>
        <v>0</v>
      </c>
      <c r="G11" s="5" t="s">
        <v>43</v>
      </c>
      <c r="H11" s="23">
        <f>IF(Information!$C$13="Oats",(0.2*Information!$E$13),0)</f>
        <v>0</v>
      </c>
      <c r="I11" s="23">
        <f>IF(Information!$F$13="Oats",(0.2*Information!$H$13),0)</f>
        <v>0</v>
      </c>
      <c r="J11" s="23">
        <f>IF(Information!$I$13="Oats",(0.2*Information!$K$13),0)</f>
        <v>0</v>
      </c>
      <c r="M11" s="5" t="s">
        <v>43</v>
      </c>
      <c r="N11" s="23">
        <f>IF(Information!$C$14="Oats",(0.2*Information!$E$14),0)</f>
        <v>0</v>
      </c>
      <c r="O11" s="23">
        <f>IF(Information!$F$14="Oats",(0.2*Information!$H$14),0)</f>
        <v>0</v>
      </c>
      <c r="P11" s="23">
        <f>IF(Information!$I$14="Oats",(0.2*Information!$K$14),0)</f>
        <v>0</v>
      </c>
      <c r="S11" s="5" t="s">
        <v>43</v>
      </c>
      <c r="T11" s="23">
        <f>IF(Information!$C$15="Oats",(0.2*Information!$E$15),0)</f>
        <v>0</v>
      </c>
      <c r="U11" s="23">
        <f>IF(Information!$F$15="Oats",(0.2*Information!$H$15),0)</f>
        <v>0</v>
      </c>
      <c r="V11" s="23">
        <f>IF(Information!$I$15="Oats",(0.2*Information!$K$15),0)</f>
        <v>0</v>
      </c>
    </row>
    <row r="12" spans="1:23" x14ac:dyDescent="0.2">
      <c r="A12" s="5" t="s">
        <v>32</v>
      </c>
      <c r="B12" s="23">
        <f>IF(Information!$C$12="Soybeans",(1.4*Information!$E$12),0)</f>
        <v>0</v>
      </c>
      <c r="C12" s="23">
        <f>IF(Information!$F$12="Soybeans",(1.4*Information!$H$12),0)</f>
        <v>0</v>
      </c>
      <c r="D12" s="23">
        <f>IF(Information!$I$12="Soybeans",(1.4*Information!$K$12),0)</f>
        <v>0</v>
      </c>
      <c r="G12" s="5" t="s">
        <v>32</v>
      </c>
      <c r="H12" s="23">
        <f>IF(Information!$C$13="Soybeans",(1.4*Information!$E$13),0)</f>
        <v>0</v>
      </c>
      <c r="I12" s="23">
        <f>IF(Information!$F$13="Soybeans",(1.4*Information!$H$13),0)</f>
        <v>0</v>
      </c>
      <c r="J12" s="23">
        <f>IF(Information!$I$13="Soybeans",(1.4*Information!$K$13),0)</f>
        <v>0</v>
      </c>
      <c r="M12" s="5" t="s">
        <v>32</v>
      </c>
      <c r="N12" s="23">
        <f>IF(Information!$C$14="Soybeans",(1.4*Information!$E$14),0)</f>
        <v>0</v>
      </c>
      <c r="O12" s="23">
        <f>IF(Information!$F$14="Soybeans",(1.4*Information!$H$14),0)</f>
        <v>0</v>
      </c>
      <c r="P12" s="23">
        <f>IF(Information!$I$14="Soybeans",(1.4*Information!$K$14),0)</f>
        <v>0</v>
      </c>
      <c r="S12" s="5" t="s">
        <v>32</v>
      </c>
      <c r="T12" s="23">
        <f>IF(Information!$C$15="Soybeans",(1.4*Information!$E$15),0)</f>
        <v>0</v>
      </c>
      <c r="U12" s="23">
        <f>IF(Information!$F$15="Soybeans",(1.4*Information!$H$15),0)</f>
        <v>0</v>
      </c>
      <c r="V12" s="23">
        <f>IF(Information!$I$15="Soybeans",(1.4*Information!$K$15),0)</f>
        <v>0</v>
      </c>
    </row>
    <row r="13" spans="1:23" ht="13.5" thickBot="1" x14ac:dyDescent="0.25">
      <c r="A13" s="12" t="s">
        <v>49</v>
      </c>
      <c r="B13" s="28">
        <f>IF(Information!$C$12="Alfalfa",(60*Information!$E$12),0)</f>
        <v>0</v>
      </c>
      <c r="C13" s="28">
        <f>IF(Information!$F$12="Alfalfa",(60*Information!$H$12),0)</f>
        <v>0</v>
      </c>
      <c r="D13" s="28">
        <f>IF(Information!$I$12="Alfalfa",(60*Information!$K$12),0)</f>
        <v>0</v>
      </c>
      <c r="G13" s="12" t="s">
        <v>49</v>
      </c>
      <c r="H13" s="28">
        <f>IF(Information!$C$13="Alfalfa",(60*Information!$E$13),0)</f>
        <v>0</v>
      </c>
      <c r="I13" s="28">
        <f>IF(Information!$F$13="Alfalfa",(60*Information!$H$13),0)</f>
        <v>0</v>
      </c>
      <c r="J13" s="28">
        <f>IF(Information!$I$13="Alfalfa",(60*Information!$K$13),0)</f>
        <v>0</v>
      </c>
      <c r="M13" s="12" t="s">
        <v>49</v>
      </c>
      <c r="N13" s="28">
        <f>IF(Information!$C$14="Alfalfa",(60*Information!$E$14),0)</f>
        <v>0</v>
      </c>
      <c r="O13" s="28">
        <f>IF(Information!$F$14="Alfalfa",(60*Information!$H$14),0)</f>
        <v>0</v>
      </c>
      <c r="P13" s="28">
        <f>IF(Information!$I$14="Alfalfa",(60*Information!$K$14),0)</f>
        <v>0</v>
      </c>
      <c r="S13" s="12" t="s">
        <v>49</v>
      </c>
      <c r="T13" s="28">
        <f>IF(Information!$C$15="Alfalfa",(60*Information!$E$15),0)</f>
        <v>0</v>
      </c>
      <c r="U13" s="28">
        <f>IF(Information!$F$15="Alfalfa",(60*Information!$H$15),0)</f>
        <v>0</v>
      </c>
      <c r="V13" s="28">
        <f>IF(Information!$I$15="Alfalfa",(60*Information!$K$15),0)</f>
        <v>0</v>
      </c>
    </row>
    <row r="14" spans="1:23" s="32" customFormat="1" ht="14.25" thickTop="1" thickBot="1" x14ac:dyDescent="0.25">
      <c r="B14" s="31">
        <f>SUM(B5:B13)</f>
        <v>0</v>
      </c>
      <c r="C14" s="31">
        <f>SUM(C5:C13)</f>
        <v>0</v>
      </c>
      <c r="D14" s="31">
        <f>SUM(D5:D13)</f>
        <v>0</v>
      </c>
      <c r="E14" s="148"/>
      <c r="H14" s="31">
        <f>SUM(H5:H13)</f>
        <v>0</v>
      </c>
      <c r="I14" s="31">
        <f>SUM(I5:I13)</f>
        <v>0</v>
      </c>
      <c r="J14" s="31">
        <f>SUM(J5:J13)</f>
        <v>0</v>
      </c>
      <c r="K14" s="163"/>
      <c r="N14" s="31">
        <f>SUM(N5:N13)</f>
        <v>0</v>
      </c>
      <c r="O14" s="31">
        <f>SUM(O5:O13)</f>
        <v>0</v>
      </c>
      <c r="P14" s="31">
        <f>SUM(P5:P13)</f>
        <v>0</v>
      </c>
      <c r="Q14" s="163"/>
      <c r="T14" s="31">
        <f>SUM(T5:T13)</f>
        <v>0</v>
      </c>
      <c r="U14" s="31">
        <f>SUM(U5:U13)</f>
        <v>0</v>
      </c>
      <c r="V14" s="31">
        <f>SUM(V5:V13)</f>
        <v>0</v>
      </c>
      <c r="W14" s="163"/>
    </row>
    <row r="15" spans="1:23" x14ac:dyDescent="0.2">
      <c r="C15" s="162"/>
    </row>
    <row r="16" spans="1:23" ht="14.25" x14ac:dyDescent="0.25">
      <c r="A16" s="5" t="s">
        <v>306</v>
      </c>
    </row>
    <row r="17" spans="1:22" s="2" customFormat="1" x14ac:dyDescent="0.2">
      <c r="A17" s="27"/>
      <c r="B17" s="167">
        <f>IF($B$14=0,0,IF(Information!$C$12="Alfalfa",((((150-Information!$H$20)*9)/Information!$L$9)+$B$14),((((130-Information!$H$20)*9)/Information!$L$9)+$B$14)))</f>
        <v>0</v>
      </c>
      <c r="C17" s="167">
        <f>IF($C$14=0,0,IF(Information!$F$12="Alfalfa",((((150-Information!$H$20)*9)/Information!$L$9)+$C$14),((((130-Information!$H$20)*9)/Information!$L$9)+$C$14)))</f>
        <v>0</v>
      </c>
      <c r="D17" s="167">
        <f>IF($D$14=0,0,IF(Information!$I$12="Alfalfa",((((150-Information!$H$20)*9)/Information!$L$9)+$D$14),((((130-Information!$H$20)*9)/Information!$L$9)+$D$14)))</f>
        <v>0</v>
      </c>
      <c r="E17" s="168"/>
      <c r="F17" s="168"/>
      <c r="H17" s="167">
        <f>IF($H$14=0,0,IF(Information!$C$13="Alfalfa",((((150-Information!$H$21)*9)/Information!$L$9)+$H$14),((((130-Information!$H$21)*9)/Information!$L$9)+$H$14)))</f>
        <v>0</v>
      </c>
      <c r="I17" s="167">
        <f>IF($I$14=0,0,IF(Information!$F$13="Alfalfa",((((150-Information!$H$21)*9)/Information!$L$9)+$I$14),((((130-Information!$H$21)*9)/Information!$L$9)+$I$14)))</f>
        <v>0</v>
      </c>
      <c r="J17" s="167">
        <f>IF($J$14=0,0,IF(Information!$I$13="Alfalfa",((((150-Information!$H$21)*9)/Information!$L$9)+$J$14),((((130-Information!$H$21)*9)/Information!$L$9)+$J$14)))</f>
        <v>0</v>
      </c>
      <c r="N17" s="167">
        <f>IF($N$14=0,0,IF(Information!$C$14="Alfalfa",((((150-Information!$H$22)*9)/Information!$L$9)+$N$14),((((130-Information!$H$22)*9)/Information!$L$9)+$N$14)))</f>
        <v>0</v>
      </c>
      <c r="O17" s="167">
        <f>IF($O$14=0,0,IF(Information!$F$14="Alfalfa",((((150-Information!$H$22)*9)/Information!$L$9)+$O$14),((((130-Information!$H$22)*9)/Information!$L$9)+$O$14)))</f>
        <v>0</v>
      </c>
      <c r="P17" s="167">
        <f>IF($P$14=0,0,IF(Information!$I$14="Alfalfa",((((150-Information!$H$22)*9)/Information!$L$9)+$P$14),((((130-Information!$H$22)*9)/Information!$L$9)+$P$14)))</f>
        <v>0</v>
      </c>
      <c r="T17" s="167">
        <f>IF($T$14=0,0,IF(Information!$C$15="Alfalfa",((((150-Information!$H$23)*9)/Information!$L$9)+$T$14),((((130-Information!$H$23)*9)/Information!$L$9)+$T$14)))</f>
        <v>0</v>
      </c>
      <c r="U17" s="167">
        <f>IF($U$14=0,0,IF(Information!$F$15="Alfalfa",((((150-Information!$H$23)*9)/Information!$L$9)+$U$14),((((130-Information!$H$23)*9)/Information!$L$9)+$U$14)))</f>
        <v>0</v>
      </c>
      <c r="V17" s="167">
        <f>IF($V$14=0,0,IF(Information!$I$15="Alfalfa",((((150-Information!$H$23)*9)/Information!$L$9)+$V$14),((((130-Information!$H$23)*9)/Information!$L$9)+$V$14)))</f>
        <v>0</v>
      </c>
    </row>
    <row r="18" spans="1:22" x14ac:dyDescent="0.2">
      <c r="A18" s="5"/>
      <c r="B18" s="23"/>
      <c r="C18" s="23"/>
      <c r="D18" s="23"/>
      <c r="E18" s="23"/>
      <c r="F18" s="23"/>
      <c r="G18" s="23"/>
      <c r="H18" s="23"/>
      <c r="I18" s="23"/>
      <c r="J18" s="23"/>
    </row>
    <row r="19" spans="1:22" ht="14.25" x14ac:dyDescent="0.25">
      <c r="A19" s="5" t="s">
        <v>307</v>
      </c>
      <c r="K19" s="3"/>
    </row>
    <row r="20" spans="1:22" s="7" customFormat="1" x14ac:dyDescent="0.2">
      <c r="B20" s="169">
        <f>MROUND(IF($B$17&gt;0,$B$17,0),5)</f>
        <v>0</v>
      </c>
      <c r="C20" s="169">
        <f>MROUND(IF($C$17&gt;0,$C$17,0),5)</f>
        <v>0</v>
      </c>
      <c r="D20" s="169">
        <f>MROUND(IF($D$17&gt;0,$D$17,0),5)</f>
        <v>0</v>
      </c>
      <c r="H20" s="169">
        <f>MROUND(IF($H$17&gt;0,$H$17,0),5)</f>
        <v>0</v>
      </c>
      <c r="I20" s="169">
        <f>MROUND(IF($I$17&gt;0,$I$17,0),5)</f>
        <v>0</v>
      </c>
      <c r="J20" s="169">
        <f>MROUND(IF($J$17&gt;0,$J$17,0),5)</f>
        <v>0</v>
      </c>
      <c r="N20" s="169">
        <f>MROUND(IF($N$17&gt;0,$N$17,0),5)</f>
        <v>0</v>
      </c>
      <c r="O20" s="169">
        <f>MROUND(IF($O$17&gt;0,$O$17,0),5)</f>
        <v>0</v>
      </c>
      <c r="P20" s="169">
        <f>MROUND(IF($P$17&gt;0,$P$17,0),5)</f>
        <v>0</v>
      </c>
      <c r="T20" s="169">
        <f>MROUND(IF($T$17&gt;0,$T$17,0),5)</f>
        <v>0</v>
      </c>
      <c r="U20" s="169">
        <f>MROUND(IF($U$17&gt;0,$U$17,0),5)</f>
        <v>0</v>
      </c>
      <c r="V20" s="169">
        <f>MROUND(IF($V$17&gt;0,$V$17,0),5)</f>
        <v>0</v>
      </c>
    </row>
    <row r="21" spans="1:22" x14ac:dyDescent="0.2">
      <c r="A21" s="5"/>
    </row>
    <row r="22" spans="1:22" x14ac:dyDescent="0.2">
      <c r="A22" s="5"/>
    </row>
    <row r="23" spans="1:22" x14ac:dyDescent="0.2">
      <c r="A23" s="5"/>
    </row>
    <row r="24" spans="1:22" x14ac:dyDescent="0.2">
      <c r="A24" s="5"/>
    </row>
    <row r="25" spans="1:22" x14ac:dyDescent="0.2">
      <c r="A25" s="5"/>
    </row>
    <row r="26" spans="1:22" x14ac:dyDescent="0.2">
      <c r="A26" s="5"/>
    </row>
    <row r="27" spans="1:22" x14ac:dyDescent="0.2">
      <c r="A27" s="5"/>
    </row>
    <row r="28" spans="1:22" x14ac:dyDescent="0.2">
      <c r="A28" s="5"/>
    </row>
    <row r="29" spans="1:22" x14ac:dyDescent="0.2">
      <c r="A29" s="5"/>
    </row>
    <row r="30" spans="1:22" x14ac:dyDescent="0.2">
      <c r="A30" s="6"/>
    </row>
  </sheetData>
  <mergeCells count="8">
    <mergeCell ref="S1:V1"/>
    <mergeCell ref="A2:D2"/>
    <mergeCell ref="G2:J2"/>
    <mergeCell ref="M2:P2"/>
    <mergeCell ref="S2:V2"/>
    <mergeCell ref="A1:D1"/>
    <mergeCell ref="G1:J1"/>
    <mergeCell ref="M1:P1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indexed="38"/>
  </sheetPr>
  <dimension ref="A1:D19"/>
  <sheetViews>
    <sheetView workbookViewId="0">
      <selection activeCell="Q14" sqref="Q14"/>
    </sheetView>
  </sheetViews>
  <sheetFormatPr defaultRowHeight="12.75" x14ac:dyDescent="0.2"/>
  <cols>
    <col min="1" max="1" width="18.140625" customWidth="1"/>
    <col min="2" max="4" width="12.7109375" customWidth="1"/>
  </cols>
  <sheetData>
    <row r="1" spans="1:4" ht="20.25" x14ac:dyDescent="0.3">
      <c r="A1" s="246" t="s">
        <v>284</v>
      </c>
      <c r="B1" s="246"/>
      <c r="C1" s="246"/>
      <c r="D1" s="246"/>
    </row>
    <row r="2" spans="1:4" x14ac:dyDescent="0.2">
      <c r="A2" s="149"/>
      <c r="B2" s="150"/>
      <c r="C2" s="150"/>
      <c r="D2" s="151"/>
    </row>
    <row r="3" spans="1:4" ht="18.75" x14ac:dyDescent="0.35">
      <c r="A3" s="152" t="s">
        <v>105</v>
      </c>
      <c r="B3" s="153" t="s">
        <v>106</v>
      </c>
      <c r="C3" s="153" t="s">
        <v>308</v>
      </c>
      <c r="D3" s="153" t="s">
        <v>309</v>
      </c>
    </row>
    <row r="4" spans="1:4" x14ac:dyDescent="0.2">
      <c r="A4" s="154" t="s">
        <v>49</v>
      </c>
      <c r="B4" s="155" t="s">
        <v>285</v>
      </c>
      <c r="C4" s="156">
        <v>12</v>
      </c>
      <c r="D4" s="157">
        <v>60</v>
      </c>
    </row>
    <row r="5" spans="1:4" x14ac:dyDescent="0.2">
      <c r="A5" s="154" t="s">
        <v>286</v>
      </c>
      <c r="B5" s="155" t="s">
        <v>285</v>
      </c>
      <c r="C5" s="157">
        <v>12</v>
      </c>
      <c r="D5" s="157">
        <v>50</v>
      </c>
    </row>
    <row r="6" spans="1:4" x14ac:dyDescent="0.2">
      <c r="A6" s="154" t="s">
        <v>287</v>
      </c>
      <c r="B6" s="155" t="s">
        <v>285</v>
      </c>
      <c r="C6" s="157">
        <v>12</v>
      </c>
      <c r="D6" s="157">
        <v>40</v>
      </c>
    </row>
    <row r="7" spans="1:4" x14ac:dyDescent="0.2">
      <c r="A7" s="154" t="s">
        <v>288</v>
      </c>
      <c r="B7" s="155" t="s">
        <v>285</v>
      </c>
      <c r="C7" s="157">
        <v>12</v>
      </c>
      <c r="D7" s="157">
        <v>40</v>
      </c>
    </row>
    <row r="8" spans="1:4" x14ac:dyDescent="0.2">
      <c r="A8" s="154" t="s">
        <v>289</v>
      </c>
      <c r="B8" s="155" t="s">
        <v>285</v>
      </c>
      <c r="C8" s="157">
        <v>12</v>
      </c>
      <c r="D8" s="157">
        <v>40</v>
      </c>
    </row>
    <row r="9" spans="1:4" x14ac:dyDescent="0.2">
      <c r="A9" s="154" t="s">
        <v>30</v>
      </c>
      <c r="B9" s="155" t="s">
        <v>290</v>
      </c>
      <c r="C9" s="157">
        <v>0.33</v>
      </c>
      <c r="D9" s="157">
        <v>0.26</v>
      </c>
    </row>
    <row r="10" spans="1:4" x14ac:dyDescent="0.2">
      <c r="A10" s="154" t="s">
        <v>291</v>
      </c>
      <c r="B10" s="155" t="s">
        <v>285</v>
      </c>
      <c r="C10" s="157">
        <v>3.2</v>
      </c>
      <c r="D10" s="157">
        <v>8.6999999999999993</v>
      </c>
    </row>
    <row r="11" spans="1:4" x14ac:dyDescent="0.2">
      <c r="A11" s="154" t="s">
        <v>292</v>
      </c>
      <c r="B11" s="155" t="s">
        <v>290</v>
      </c>
      <c r="C11" s="157">
        <v>0.4</v>
      </c>
      <c r="D11" s="157">
        <v>0.26</v>
      </c>
    </row>
    <row r="12" spans="1:4" x14ac:dyDescent="0.2">
      <c r="A12" s="154" t="s">
        <v>293</v>
      </c>
      <c r="B12" s="155" t="s">
        <v>285</v>
      </c>
      <c r="C12" s="157">
        <v>3.2</v>
      </c>
      <c r="D12" s="157">
        <v>8.6999999999999993</v>
      </c>
    </row>
    <row r="13" spans="1:4" x14ac:dyDescent="0.2">
      <c r="A13" s="154" t="s">
        <v>38</v>
      </c>
      <c r="B13" s="155" t="s">
        <v>290</v>
      </c>
      <c r="C13" s="157">
        <v>0.5</v>
      </c>
      <c r="D13" s="157">
        <v>0.3</v>
      </c>
    </row>
    <row r="14" spans="1:4" x14ac:dyDescent="0.2">
      <c r="A14" s="154" t="s">
        <v>51</v>
      </c>
      <c r="B14" s="155" t="s">
        <v>294</v>
      </c>
      <c r="C14" s="156">
        <v>1.5</v>
      </c>
      <c r="D14" s="156">
        <v>0.6</v>
      </c>
    </row>
    <row r="15" spans="1:4" x14ac:dyDescent="0.2">
      <c r="A15" s="154" t="s">
        <v>43</v>
      </c>
      <c r="B15" s="155" t="s">
        <v>290</v>
      </c>
      <c r="C15" s="157">
        <v>0.25</v>
      </c>
      <c r="D15" s="157">
        <v>0.2</v>
      </c>
    </row>
    <row r="16" spans="1:4" x14ac:dyDescent="0.2">
      <c r="A16" s="154" t="s">
        <v>32</v>
      </c>
      <c r="B16" s="155" t="s">
        <v>290</v>
      </c>
      <c r="C16" s="157">
        <v>0.8</v>
      </c>
      <c r="D16" s="157">
        <v>1.4</v>
      </c>
    </row>
    <row r="17" spans="1:4" x14ac:dyDescent="0.2">
      <c r="A17" s="154" t="s">
        <v>295</v>
      </c>
      <c r="B17" s="155" t="s">
        <v>285</v>
      </c>
      <c r="C17" s="156">
        <v>5.4</v>
      </c>
      <c r="D17" s="156">
        <v>30</v>
      </c>
    </row>
    <row r="19" spans="1:4" x14ac:dyDescent="0.2">
      <c r="A19" s="154" t="s">
        <v>329</v>
      </c>
    </row>
  </sheetData>
  <sheetProtection algorithmName="SHA-512" hashValue="MIB9pPKvGmPZX/84p9244sXCPfj1ziEdXnNUc6D156Ea32s8xCOxoYpaNI+LmLt+PmqE5glnN3xdHh03EGAM3Q==" saltValue="HiuzTZyCthB3q/LO13WZIw==" spinCount="100000" sheet="1" objects="1" scenarios="1"/>
  <mergeCells count="1">
    <mergeCell ref="A1:D1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33"/>
  <sheetViews>
    <sheetView workbookViewId="0">
      <selection activeCell="C33" sqref="C33"/>
    </sheetView>
  </sheetViews>
  <sheetFormatPr defaultRowHeight="12.75" x14ac:dyDescent="0.2"/>
  <cols>
    <col min="1" max="1" width="25.7109375" customWidth="1"/>
    <col min="2" max="5" width="12.7109375" customWidth="1"/>
    <col min="7" max="7" width="25.7109375" customWidth="1"/>
    <col min="8" max="11" width="12.7109375" customWidth="1"/>
    <col min="13" max="13" width="25.7109375" customWidth="1"/>
    <col min="14" max="17" width="12.7109375" customWidth="1"/>
  </cols>
  <sheetData>
    <row r="1" spans="1:17" ht="18.75" thickBot="1" x14ac:dyDescent="0.3">
      <c r="A1" s="244" t="s">
        <v>60</v>
      </c>
      <c r="B1" s="244"/>
      <c r="C1" s="244"/>
      <c r="D1" s="244"/>
      <c r="E1" s="244"/>
      <c r="F1" s="30"/>
      <c r="G1" s="244" t="s">
        <v>69</v>
      </c>
      <c r="H1" s="244"/>
      <c r="I1" s="244"/>
      <c r="J1" s="244"/>
      <c r="K1" s="244"/>
      <c r="M1" s="244" t="s">
        <v>70</v>
      </c>
      <c r="N1" s="244"/>
      <c r="O1" s="244"/>
      <c r="P1" s="244"/>
      <c r="Q1" s="244"/>
    </row>
    <row r="2" spans="1:17" ht="14.25" thickTop="1" thickBot="1" x14ac:dyDescent="0.25">
      <c r="A2" s="8" t="s">
        <v>80</v>
      </c>
      <c r="B2" s="9" t="s">
        <v>34</v>
      </c>
      <c r="C2" s="9" t="s">
        <v>35</v>
      </c>
      <c r="D2" s="9" t="s">
        <v>36</v>
      </c>
      <c r="E2" s="9" t="s">
        <v>37</v>
      </c>
      <c r="F2" s="18"/>
      <c r="G2" s="8" t="s">
        <v>80</v>
      </c>
      <c r="H2" s="9" t="s">
        <v>34</v>
      </c>
      <c r="I2" s="9" t="s">
        <v>35</v>
      </c>
      <c r="J2" s="9" t="s">
        <v>36</v>
      </c>
      <c r="K2" s="9" t="s">
        <v>37</v>
      </c>
      <c r="M2" s="8" t="s">
        <v>80</v>
      </c>
      <c r="N2" s="9" t="s">
        <v>34</v>
      </c>
      <c r="O2" s="9" t="s">
        <v>35</v>
      </c>
      <c r="P2" s="9" t="s">
        <v>36</v>
      </c>
      <c r="Q2" s="9" t="s">
        <v>37</v>
      </c>
    </row>
    <row r="3" spans="1:17" x14ac:dyDescent="0.2">
      <c r="A3" s="6" t="s">
        <v>317</v>
      </c>
      <c r="B3" s="18"/>
      <c r="C3" s="18"/>
      <c r="D3" s="18"/>
      <c r="E3" s="18"/>
      <c r="F3" s="18"/>
      <c r="G3" s="6" t="s">
        <v>317</v>
      </c>
      <c r="H3" s="18"/>
      <c r="I3" s="18"/>
      <c r="J3" s="18"/>
      <c r="K3" s="18"/>
      <c r="M3" s="6" t="s">
        <v>317</v>
      </c>
      <c r="N3" s="18"/>
      <c r="O3" s="18"/>
      <c r="P3" s="18"/>
      <c r="Q3" s="18"/>
    </row>
    <row r="4" spans="1:17" x14ac:dyDescent="0.2">
      <c r="A4" s="6"/>
      <c r="B4" s="171">
        <f>IF(Information!$F$8="Southeast",6.8,IF(Information!$F$8="Central",6,IF(Information!$F$8="West",6,IF(AND(Information!$F$8="Northeast",Information!$C$12="Soybeans"),6,IF(AND(Information!$F$8="Northeast",Information!$C$12="New Alfalfa/Clover"),6.8,IF(AND(Information!$F$8="Northeast",Information!$C$12="Alfalfa"),6.8,IF(Information!$F$8="","",6)))))))</f>
        <v>6</v>
      </c>
      <c r="C4" s="171">
        <f>IF(Information!$F$8="Southeast",6.8,IF(Information!$F$8="Central",6,IF(Information!$F$8="West",6,IF(AND(Information!$F$8="Northeast",Information!$C$13="Soybeans"),6,IF(AND(Information!$F$8="Northeast",Information!$C$13="New Alfalfa/Clover"),6.8,IF(AND(Information!$F$8="Northeast",Information!$C$13="Alfalfa"),6.8,IF(Information!$F$8="","",6)))))))</f>
        <v>6</v>
      </c>
      <c r="D4" s="171">
        <f>IF(Information!$F$8="Southeast",6.8,IF(Information!$F$8="Central",6,IF(Information!$F$8="West",6,IF(AND(Information!$F$8="Northeast",Information!$C$14="Soybeans"),6,IF(AND(Information!$F$8="Northeast",Information!$C$14="New Alfalfa/Clover"),6.8,IF(AND(Information!$F$8="Northeast",Information!$C$14="Alfalfa"),6.8,IF(Information!$F$8="","",6)))))))</f>
        <v>6</v>
      </c>
      <c r="E4" s="171">
        <f>IF(Information!$F$8="Southeast",6.8,IF(Information!$F$8="Central",6,IF(Information!$F$8="West",6,IF(AND(Information!$F$8="Northeast",Information!$C$15="Soybeans"),6,IF(AND(Information!$F$8="Northeast",Information!$C$15="New Alfalfa/Clover"),6.8,IF(AND(Information!$F$8="Northeast",Information!$C$15="Alfalfa"),6.8,IF(Information!$F$8="","",6)))))))</f>
        <v>6</v>
      </c>
      <c r="F4" s="18"/>
      <c r="G4" s="6"/>
      <c r="H4" s="171">
        <f>IF(Information!$F$8="Southeast",6.8,IF(Information!$F$8="Central",6,IF(Information!$F$8="West",6,IF(AND(Information!$F$8="Northeast",Information!$F$12="Soybeans"),6,IF(AND(Information!$F$8="Northeast",Information!$F$12="New Alfalfa/Clover"),6.8,IF(AND(Information!$F$8="Northeast",Information!$F$12="Alfalfa"),6.8,IF(Information!$F$8="","",6)))))))</f>
        <v>6</v>
      </c>
      <c r="I4" s="171">
        <f>IF(Information!$F$8="Southeast",6.8,IF(Information!$F$8="Central",6,IF(Information!$F$8="West",6,IF(AND(Information!$F$8="Northeast",Information!$F$13="Soybeans"),6,IF(AND(Information!$F$8="Northeast",Information!$F$13="New Alfalfa/Clover"),6.8,IF(AND(Information!$F$8="Northeast",Information!$F$13="Alfalfa"),6.8,IF(Information!$F$8="","",6)))))))</f>
        <v>6</v>
      </c>
      <c r="J4" s="171">
        <f>IF(Information!$F$8="Southeast",6.8,IF(Information!$F$8="Central",6,IF(Information!$F$8="West",6,IF(AND(Information!$F$8="Northeast",Information!$F$14="Soybeans"),6,IF(AND(Information!$F$8="Northeast",Information!$F$14="New Alfalfa/Clover"),6.8,IF(AND(Information!$F$8="Northeast",Information!$F$14="Alfalfa"),6.8,IF(Information!$F$8="","",6)))))))</f>
        <v>6</v>
      </c>
      <c r="K4" s="171">
        <f>IF(Information!$F$8="Southeast",6.8,IF(Information!$F$8="Central",6,IF(Information!$F$8="West",6,IF(AND(Information!$F$8="Northeast",Information!$F$15="Soybeans"),6,IF(AND(Information!$F$8="Northeast",Information!$F$15="New Alfalfa/Clover"),6.8,IF(AND(Information!$F$8="Northeast",Information!$F$15="Alfalfa"),6.8,IF(Information!$F$8="","",6)))))))</f>
        <v>6</v>
      </c>
      <c r="M4" s="6"/>
      <c r="N4" s="171">
        <f>IF(Information!$F$8="Southeast",6.8,IF(Information!$F$8="Central",6,IF(Information!$F$8="West",6,IF(AND(Information!$F$8="Northeast",Information!$I$12="Soybeans"),6,IF(AND(Information!$F$8="Northeast",Information!$I$12="New Alfalfa/Clover"),6.8,IF(AND(Information!$F$8="Northeast",Information!$I$12="Alfalfa"),6.8,IF(Information!$F$8="","",6)))))))</f>
        <v>6</v>
      </c>
      <c r="O4" s="171">
        <f>IF(Information!$F$8="Southeast",6.8,IF(Information!$F$8="Central",6,IF(Information!$F$8="West",6,IF(AND(Information!$F$8="Northeast",Information!$I$13="Soybeans"),6,IF(AND(Information!$F$8="Northeast",Information!$I$13="New Alfalfa/Clover"),6.8,IF(AND(Information!$F$8="Northeast",Information!$I$13="Alfalfa"),6.8,IF(Information!$F$8="","",6)))))))</f>
        <v>6</v>
      </c>
      <c r="P4" s="171">
        <f>IF(Information!$F$8="Southeast",6.8,IF(Information!$F$8="Central",6,IF(Information!$F$8="West",6,IF(AND(Information!$F$8="Northeast",Information!$I$14="Soybeans"),6,IF(AND(Information!$F$8="Northeast",Information!$I$14="New Alfalfa/Clover"),6.8,IF(AND(Information!$F$8="Northeast",Information!$I$14="Alfalfa"),6.8,IF(Information!$F$8="","",6)))))))</f>
        <v>6</v>
      </c>
      <c r="Q4" s="171">
        <f>IF(Information!$F$8="Southeast",6.8,IF(Information!$F$8="Central",6,IF(Information!$F$8="West",6,IF(AND(Information!$F$8="Northeast",Information!$I$15="Soybeans"),6,IF(AND(Information!$F$8="Northeast",Information!$I$15="New Alfalfa/Clover"),6.8,IF(AND(Information!$F$8="Northeast",Information!$I$15="Alfalfa"),6.8,IF(Information!$F$8="","",6)))))))</f>
        <v>6</v>
      </c>
    </row>
    <row r="5" spans="1:17" x14ac:dyDescent="0.2">
      <c r="A5" s="6"/>
      <c r="B5" s="18"/>
      <c r="C5" s="18"/>
      <c r="D5" s="18"/>
      <c r="E5" s="18"/>
      <c r="F5" s="18"/>
      <c r="G5" s="6"/>
      <c r="H5" s="18"/>
      <c r="I5" s="18"/>
      <c r="J5" s="18"/>
      <c r="K5" s="18"/>
      <c r="M5" s="6"/>
      <c r="N5" s="18"/>
      <c r="O5" s="18"/>
      <c r="P5" s="18"/>
      <c r="Q5" s="18"/>
    </row>
    <row r="6" spans="1:17" x14ac:dyDescent="0.2">
      <c r="A6" s="6"/>
      <c r="B6" s="18"/>
      <c r="C6" s="18"/>
      <c r="D6" s="18"/>
      <c r="E6" s="18"/>
      <c r="F6" s="18"/>
      <c r="G6" s="6"/>
      <c r="H6" s="18"/>
      <c r="I6" s="18"/>
      <c r="J6" s="18"/>
      <c r="K6" s="18"/>
      <c r="M6" s="6"/>
      <c r="N6" s="18"/>
      <c r="O6" s="18"/>
      <c r="P6" s="18"/>
      <c r="Q6" s="18"/>
    </row>
    <row r="7" spans="1:17" x14ac:dyDescent="0.2">
      <c r="F7" s="3"/>
    </row>
    <row r="8" spans="1:17" ht="13.5" thickBot="1" x14ac:dyDescent="0.25">
      <c r="A8" s="5" t="s">
        <v>82</v>
      </c>
      <c r="B8" s="41">
        <f>IF(Information!$C$12="",0,IF($B$4&gt;6,MROUND(((28300-(7100*Information!$D$20)+(Information!$D$20*Information!$D$20*449))*Information!$K$7),250),IF($B$4=6,MROUND(((14100-(3540*Information!$D$20)+(Information!$D$20*Information!$D$20*224))*Information!$K$7),250),IF($B$4&lt;6,MROUND(((7060-(1770*Information!$D$20)+(Information!$D$20*Information!$D$20*112))*Information!$K$7),250),0))))</f>
        <v>0</v>
      </c>
      <c r="C8" s="41">
        <f>IF(Information!$C$13="",0,IF($C$4&gt;6,MROUND(((28300-(7100*Information!$D$21)+(Information!$D$21*Information!$D$21*449))*Information!$K$7),250),IF($C$4=6,MROUND(((14100-(3540*Information!$D$21)+(Information!$D$21*Information!$D$21*224))*Information!$K$7),250),IF($C$4&lt;6,MROUND(((7060-(1770*Information!$D$21)+(Information!$D$21*Information!$D$21*112))*Information!$K$7),250),0))))</f>
        <v>0</v>
      </c>
      <c r="D8" s="41">
        <f>IF(Information!$C$14="",0,IF($D$4&gt;6,MROUND(((28300-(7100*Information!$D$22)+(Information!$D$22*Information!$D$22*449))*Information!$K$7),250),IF($D$4=6,MROUND(((14100-(3540*Information!$D$22)+(Information!$D$22*Information!$D$22*224))*Information!$K$7),250),IF($D$4&lt;6,MROUND(((7060-(1770*Information!$D$22)+(Information!$D$22*Information!$D$22*112))*Information!$K$7),250),0))))</f>
        <v>0</v>
      </c>
      <c r="E8" s="41">
        <f>IF(Information!$C$15="",0,IF($E$4&gt;6,MROUND(((28300-(7100*Information!$D$23)+(Information!$D$23*Information!$D$23*449))*Information!$K$7),250),IF($E$4=6,MROUND(((14100-(3540*Information!$D$23)+(Information!$D$23*Information!$D$23*224))*Information!$K$7),250),IF($E$4&lt;6,MROUND(((7060-(1770*Information!$D$23)+(Information!$D$23*Information!$D$23*112))*Information!$K$7),250),0))))</f>
        <v>0</v>
      </c>
      <c r="F8" s="20"/>
      <c r="G8" s="5" t="s">
        <v>82</v>
      </c>
      <c r="H8" s="41">
        <f>IF(Information!F12="",0,IF($H$4&gt;6,MROUND(((28300-(7100*Information!$D$20)+(Information!$D$20*Information!$D$20*449))*Information!$K$7),250),IF($H$4=6,MROUND(((14100-(3540*Information!$D$20)+(Information!$D$20*Information!$D$20*224))*Information!$K$7),250),IF($H$4&lt;6,MROUND(((7060-(1770*Information!$D$20)+(Information!$D$20*Information!$D$20*112))*Information!$K$7),250),0))))</f>
        <v>0</v>
      </c>
      <c r="I8" s="41">
        <f>IF(Information!F13="",0,IF($I$4&gt;6,MROUND(((28300-(7100*Information!$D$21)+(Information!$D$21*Information!$D$21*449))*Information!$K$7),250),IF($I$4=6,MROUND(((14100-(3540*Information!$D$21)+(Information!$D$21*Information!$D$21*224))*Information!$K$7),250),IF($I$4&lt;6,MROUND(((7060-(1770*Information!$D$21)+(Information!$D$21*Information!$D$21*112))*Information!$K$7),250),0))))</f>
        <v>0</v>
      </c>
      <c r="J8" s="41">
        <f>IF(Information!F14="",0,IF($J$4&gt;6,MROUND(((28300-(7100*Information!$D$22)+(Information!$D$22*Information!$D$22*449))*Information!$K$7),250),IF($J$4=6,MROUND(((14100-(3540*Information!$D$22)+(Information!$D$22*Information!$D$22*224))*Information!$K$7),250),IF($J$4&lt;6,MROUND(((7060-(1770*Information!$D$22)+(Information!$D$22*Information!$D$22*112))*Information!$K$7),250),0))))</f>
        <v>0</v>
      </c>
      <c r="K8" s="41">
        <f>IF(Information!F15="",0,IF($K$4&gt;6,MROUND(((28300-(7100*Information!$D$23)+(Information!$D$23*Information!$D$23*449))*Information!$K$7),250),IF($K$4=6,MROUND(((14100-(3540*Information!$D$23)+(Information!$D$23*Information!$D$23*224))*Information!$K$7),250),IF($K$4&lt;6,MROUND(((7060-(1770*Information!$D$23)+(Information!$D$23*Information!$D$23*112))*Information!$K$7),250),0))))</f>
        <v>0</v>
      </c>
      <c r="M8" s="5" t="s">
        <v>82</v>
      </c>
      <c r="N8" s="41">
        <f>IF(Information!I12="",0,IF($N$4&gt;6,MROUND(((28300-(7100*Information!$D$20)+(Information!$D$20*Information!$D$20*449))*Information!$K$7),250),IF($N$4=6,MROUND(((14100-(3540*Information!$D$20)+(Information!$D$20*Information!$D$20*224))*Information!$K$7),250),IF($N$4&lt;6,MROUND(((7060-(1770*Information!$D$20)+(Information!$D$20*Information!$D$20*112))*Information!$K$7),250),0))))</f>
        <v>0</v>
      </c>
      <c r="O8" s="41">
        <f>IF(Information!$I$13="",0,IF($O$4&gt;6,MROUND(((28300-(7100*Information!$D$21)+(Information!$D$21*Information!$D$21*449))*Information!$K$7),250),IF($O$4=6,MROUND(((14100-(3540*Information!$D$21)+(Information!$D$21*Information!$D$21*224))*Information!$K$7),250),IF($O$4&lt;6,MROUND(((7060-(1770*Information!$D$21)+(Information!$D$21*Information!$D$21*112))*Information!$K$7),250),0))))</f>
        <v>0</v>
      </c>
      <c r="P8" s="41">
        <f>IF(Information!$I$14="",0,IF($P$4&gt;6,MROUND(((28300-(7100*Information!$D$22)+(Information!$D$22*Information!$D$22*449))*Information!$K$7),250),IF($P$4=6,MROUND(((14100-(3540*Information!$D$22)+(Information!$D$22*Information!$D$22*224))*Information!$K$7),250),IF($P$4&lt;6,MROUND(((7060-(1770*Information!$D$22)+(Information!$D$22*Information!$D$22*112))*Information!$K$7),250),0))))</f>
        <v>0</v>
      </c>
      <c r="Q8" s="41">
        <f>IF(Information!$I$15="",0,IF($Q$4&gt;6,MROUND(((28300-(7100*Information!$D$23)+(Information!$D$23*Information!$D$23*449))*Information!$K$7),250),IF($Q$4=6,MROUND(((14100-(3540*Information!$D$23)+(Information!$D$23*Information!$D$23*224))*Information!$K$7),250),IF($Q$4&lt;6,MROUND(((7060-(1770*Information!$D$23)+(Information!$D$23*Information!$D$23*112))*Information!$K$7),250),0))))</f>
        <v>0</v>
      </c>
    </row>
    <row r="9" spans="1:17" ht="13.5" thickTop="1" x14ac:dyDescent="0.2">
      <c r="B9" s="24">
        <f>SUMIF(B8:B8,"&gt;0",B8:B8)</f>
        <v>0</v>
      </c>
      <c r="C9" s="24">
        <f>SUMIF(C8:C8,"&gt;0",C8:C8)</f>
        <v>0</v>
      </c>
      <c r="D9" s="24">
        <f>SUMIF(D8:D8,"&gt;0",D8:D8)</f>
        <v>0</v>
      </c>
      <c r="E9" s="24">
        <f>SUMIF(E8:E8,"&gt;0",E8:E8)</f>
        <v>0</v>
      </c>
      <c r="F9" s="19"/>
      <c r="H9" s="24">
        <f>SUMIF(H8:H8,"&gt;0",H8:H8)</f>
        <v>0</v>
      </c>
      <c r="I9" s="24">
        <f>SUMIF(I8:I8,"&gt;0",I8:I8)</f>
        <v>0</v>
      </c>
      <c r="J9" s="24">
        <f>SUMIF(J8:J8,"&gt;0",J8:J8)</f>
        <v>0</v>
      </c>
      <c r="K9" s="24">
        <f>SUMIF(K8:K8,"&gt;0",K8:K8)</f>
        <v>0</v>
      </c>
      <c r="N9" s="24">
        <f>SUMIF(N8:N8,"&gt;0",N8:N8)</f>
        <v>0</v>
      </c>
      <c r="O9" s="24">
        <f>SUMIF(O8:O8,"&gt;0",O8:O8)</f>
        <v>0</v>
      </c>
      <c r="P9" s="24">
        <f>SUMIF(P8:P8,"&gt;0",P8:P8)</f>
        <v>0</v>
      </c>
      <c r="Q9" s="24">
        <f>SUMIF(Q8:Q8,"&gt;0",Q8:Q8)</f>
        <v>0</v>
      </c>
    </row>
    <row r="10" spans="1:17" x14ac:dyDescent="0.2">
      <c r="B10" s="24"/>
      <c r="C10" s="24"/>
      <c r="D10" s="24"/>
      <c r="E10" s="24"/>
      <c r="F10" s="19"/>
      <c r="H10" s="24"/>
      <c r="I10" s="24"/>
      <c r="J10" s="24"/>
      <c r="K10" s="24"/>
      <c r="N10" s="24"/>
      <c r="O10" s="24"/>
      <c r="P10" s="24"/>
      <c r="Q10" s="24"/>
    </row>
    <row r="11" spans="1:17" x14ac:dyDescent="0.2">
      <c r="B11" s="24"/>
      <c r="C11" s="24"/>
      <c r="D11" s="24"/>
      <c r="E11" s="24"/>
      <c r="F11" s="19"/>
      <c r="H11" s="24"/>
      <c r="I11" s="24"/>
      <c r="J11" s="24"/>
      <c r="K11" s="24"/>
      <c r="N11" s="24"/>
      <c r="O11" s="24"/>
      <c r="P11" s="24"/>
      <c r="Q11" s="24"/>
    </row>
    <row r="15" spans="1:17" ht="13.5" thickBot="1" x14ac:dyDescent="0.25">
      <c r="A15" s="8" t="s">
        <v>81</v>
      </c>
      <c r="B15" s="9" t="s">
        <v>34</v>
      </c>
      <c r="C15" s="9" t="s">
        <v>35</v>
      </c>
      <c r="D15" s="9" t="s">
        <v>36</v>
      </c>
      <c r="E15" s="9" t="s">
        <v>37</v>
      </c>
      <c r="G15" s="8" t="s">
        <v>81</v>
      </c>
      <c r="H15" s="9" t="s">
        <v>34</v>
      </c>
      <c r="I15" s="9" t="s">
        <v>35</v>
      </c>
      <c r="J15" s="9" t="s">
        <v>36</v>
      </c>
      <c r="K15" s="9" t="s">
        <v>37</v>
      </c>
      <c r="M15" s="8" t="s">
        <v>81</v>
      </c>
      <c r="N15" s="9" t="s">
        <v>34</v>
      </c>
      <c r="O15" s="9" t="s">
        <v>35</v>
      </c>
      <c r="P15" s="9" t="s">
        <v>36</v>
      </c>
      <c r="Q15" s="9" t="s">
        <v>37</v>
      </c>
    </row>
    <row r="17" spans="1:17" x14ac:dyDescent="0.2">
      <c r="A17" s="5" t="s">
        <v>30</v>
      </c>
      <c r="B17" s="40">
        <f>IF(AND(Information!$C$12="Corn",Information!$C$20&lt;=5.8,Information!$F$8="West"),'Lime Rec.'!$B$9,IF(AND(Information!$C$12="Corn",Information!$C$20&lt;=5.8,Information!$F$8="Central"),'Lime Rec.'!$B$9,IF(AND(Information!$C$12="Corn",Information!$C$20&lt;=5.8,Information!$F$8="Northeast"),'Lime Rec.'!$B$9,IF(AND(Information!$C$12="Corn",Information!$C$20&lt;=6.4,Information!$F$8="Southeast"),'Lime Rec.'!$B$9,0))))</f>
        <v>0</v>
      </c>
      <c r="C17" s="40">
        <f>IF(AND(Information!$C$13="Corn",Information!$C$21&lt;=5.8,Information!$F$8="West"),'Lime Rec.'!$C$9,IF(AND(Information!$C$13="Corn",Information!$C$21&lt;=5.8,Information!$F$8="Central"),'Lime Rec.'!$C$9,IF(AND(Information!$C$13="Corn",Information!$C$21&lt;=5.8,Information!$F$8="Northeast"),'Lime Rec.'!$C$9,IF(AND(Information!$C$13="Corn",Information!$C$21&lt;=6.4,Information!$F$8="Southeast"),'Lime Rec.'!$C$9,0))))</f>
        <v>0</v>
      </c>
      <c r="D17" s="40">
        <f>IF(AND(Information!$C$14="Corn",Information!$C$22&lt;=5.8,Information!$F$8="West"),'Lime Rec.'!$D$9,IF(AND(Information!$C$14="Corn",Information!$C$22&lt;=5.8,Information!$F$8="Central"),'Lime Rec.'!$D$9,IF(AND(Information!$C$14="Corn",Information!$C$22&lt;=5.8,Information!$F$8="Northeast"),'Lime Rec.'!$D$9,IF(AND(Information!$C$14="Corn",Information!$C$22&lt;=6.4,Information!$F$8="Southeast"),'Lime Rec.'!$D$9,0))))</f>
        <v>0</v>
      </c>
      <c r="E17" s="40">
        <f>IF(AND(Information!$C$15="Corn",Information!$C$23&lt;=5.8,Information!$F$8="West"),'Lime Rec.'!$E$9,IF(AND(Information!$C$15="Corn",Information!$C$23&lt;=5.8,Information!$F$8="Central"),'Lime Rec.'!$E$9,IF(AND(Information!$C$15="Corn",Information!$C$23&lt;=5.8,Information!$F$8="Northeast"),'Lime Rec.'!$E$9,IF(AND(Information!$C$15="Corn",Information!$C$23&lt;=6.4,Information!$F$8="Southeast"),'Lime Rec.'!$E$9,0))))</f>
        <v>0</v>
      </c>
      <c r="G17" s="5" t="s">
        <v>30</v>
      </c>
      <c r="H17" s="40">
        <f>IF(AND(Information!$F$12="Corn",Information!$C$20&lt;=5.8,Information!$F$8="West"),'Lime Rec.'!$H$9,IF(AND(Information!$F$12="Corn",Information!$C$20&lt;=5.8,Information!$F$8="Central"),'Lime Rec.'!$H$9,IF(AND(Information!$F$12="Corn",Information!$C$20&lt;=5.8,Information!$F$8="Northeast"),'Lime Rec.'!$H$9,IF(AND(Information!$F$12="Corn",Information!$C$20&lt;=6.4,Information!$F$8="Southeast"),'Lime Rec.'!$H$9,0))))</f>
        <v>0</v>
      </c>
      <c r="I17" s="40">
        <f>IF(AND(Information!$F$13="Corn",Information!$C$21&lt;=5.8,Information!$F$8="West"),'Lime Rec.'!$I$9,IF(AND(Information!$F$13="Corn",Information!$C$21&lt;=5.8,Information!$F$8="Central"),'Lime Rec.'!$I$9,IF(AND(Information!$F$13="Corn",Information!$C$21&lt;=5.8,Information!$F$8="Northeast"),'Lime Rec.'!$I$9,IF(AND(Information!$F$13="Corn",Information!$C$21&lt;=6.4,Information!$F$8="Southeast"),'Lime Rec.'!$I$9,0))))</f>
        <v>0</v>
      </c>
      <c r="J17" s="40">
        <f>IF(AND(Information!$F$14="Corn",Information!$C$22&lt;=5.8,Information!$F$8="West"),'Lime Rec.'!$J$9,IF(AND(Information!$F$14="Corn",Information!$C$22&lt;=5.8,Information!$F$8="Central"),'Lime Rec.'!$J$9,IF(AND(Information!$F$14="Corn",Information!$C$22&lt;=5.8,Information!$F$8="Northeast"),'Lime Rec.'!$J$9,IF(AND(Information!$F$14="Corn",Information!$C$22&lt;=6.4,Information!$F$8="Southeast"),'Lime Rec.'!$J$9,0))))</f>
        <v>0</v>
      </c>
      <c r="K17" s="40">
        <f>IF(AND(Information!$F$15="Corn",Information!$C$23&lt;=5.8,Information!$F$8="West"),'Lime Rec.'!$K$9,IF(AND(Information!$F$15="Corn",Information!$C$23&lt;=5.8,Information!$F$8="Central"),'Lime Rec.'!$K$9,IF(AND(Information!$F$15="Corn",Information!$C$23&lt;=5.8,Information!$F$8="Northeast"),'Lime Rec.'!$K$9,IF(AND(Information!$F$15="Corn",Information!$C$23&lt;=6.4,Information!$F$8="Southeast"),'Lime Rec.'!$K$9,0))))</f>
        <v>0</v>
      </c>
      <c r="M17" s="5" t="s">
        <v>30</v>
      </c>
      <c r="N17" s="40">
        <f>IF(AND(Information!$I$12="Corn",Information!$C$20&lt;=5.8,Information!$F$8="West"),'Lime Rec.'!$N$9,IF(AND(Information!$I$12="Corn",Information!$C$20&lt;=5.8,Information!$F$8="Central"),'Lime Rec.'!$N$9,IF(AND(Information!$I$12="Corn",Information!$C$20&lt;=5.8,Information!$F$8="Northeast"),'Lime Rec.'!$N$9,IF(AND(Information!$I$12="Corn",Information!$C$20&lt;=6.4,Information!$F$8="Southeast"),'Lime Rec.'!$N$9,0))))</f>
        <v>0</v>
      </c>
      <c r="O17" s="40">
        <f>IF(AND(Information!$I$13="Corn",Information!$C$21&lt;=5.8,Information!$F$8="West"),'Lime Rec.'!$O$9,IF(AND(Information!$I$13="Corn",Information!$C$21&lt;=5.8,Information!$F$8="Central"),'Lime Rec.'!$O$9,IF(AND(Information!$I$13="Corn",Information!$C$21&lt;=5.8,Information!$F$8="Northeast"),'Lime Rec.'!$O$9,IF(AND(Information!$I$13="Corn",Information!$C$21&lt;=6.4,Information!$F$8="Southeast"),'Lime Rec.'!$O$9,0))))</f>
        <v>0</v>
      </c>
      <c r="P17" s="40">
        <f>IF(AND(Information!$I$14="Corn",Information!$C$22&lt;=5.8,Information!$F$8="West"),'Lime Rec.'!$P$9,IF(AND(Information!$I$14="Corn",Information!$C$22&lt;=5.8,Information!$F$8="Central"),'Lime Rec.'!$P$9,IF(AND(Information!$I$14="Corn",Information!$C$22&lt;=5.8,Information!$F$8="Northeast"),'Lime Rec.'!$P$9,IF(AND(Information!$I$14="Corn",Information!$C$22&lt;=6.4,Information!$F$8="Southeast"),'Lime Rec.'!$P$9,0))))</f>
        <v>0</v>
      </c>
      <c r="Q17" s="40">
        <f>IF(AND(Information!$I$15="Corn",Information!$C$23&lt;=5.8,Information!$F$8="West"),'Lime Rec.'!$Q$9,IF(AND(Information!$I$15="Corn",Information!$C$23&lt;=5.8,Information!$F$8="Central"),'Lime Rec.'!$Q$9,IF(AND(Information!$I$15="Corn",Information!$C$23&lt;=5.8,Information!$F$8="Northeast"),'Lime Rec.'!$Q$9,IF(AND(Information!$I$15="Corn",Information!$C$23&lt;=6.4,Information!$F$8="Southeast"),'Lime Rec.'!$Q$9,0))))</f>
        <v>0</v>
      </c>
    </row>
    <row r="18" spans="1:17" x14ac:dyDescent="0.2">
      <c r="A18" s="5" t="s">
        <v>38</v>
      </c>
      <c r="B18" s="40">
        <f>IF(AND(Information!$C$12="Wheat",Information!$C$20&lt;=5.8,Information!$F$8="West"),'Lime Rec.'!$B$9,IF(AND(Information!$C$12="Wheat",Information!$C$20&lt;=5.8,Information!$F$8="Central"),'Lime Rec.'!$B$9,IF(AND(Information!$C$12="Wheat",Information!$C$20&lt;=5.8,Information!$F$8="Northeast"),'Lime Rec.'!$B$9,IF(AND(Information!$C$12="Wheat",Information!$C$20&lt;=6.4,Information!$F$8="Southeast"),'Lime Rec.'!$B$9,0))))</f>
        <v>0</v>
      </c>
      <c r="C18" s="40">
        <f>IF(AND(Information!$C$13="Wheat",Information!$C$21&lt;=5.8,Information!$F$8="West"),'Lime Rec.'!$C$9,IF(AND(Information!$C$13="Wheat",Information!$C$21&lt;=5.8,Information!$F$8="Central"),'Lime Rec.'!$C$9,IF(AND(Information!$C$13="Wheat",Information!$C$21&lt;=5.8,Information!$F$8="Northeast"),'Lime Rec.'!$C$9,IF(AND(Information!$C$13="Wheat",Information!$C$21&lt;=6.4,Information!$F$8="Southeast"),'Lime Rec.'!$C$9,0))))</f>
        <v>0</v>
      </c>
      <c r="D18" s="40">
        <f>IF(AND(Information!$C$14="Wheat",Information!$C$22&lt;=5.8,Information!$F$8="West"),'Lime Rec.'!$D$9,IF(AND(Information!$C$14="Wheat",Information!$C$22&lt;=5.8,Information!$F$8="Central"),'Lime Rec.'!$D$9,IF(AND(Information!$C$14="Wheat",Information!$C$22&lt;=5.8,Information!$F$8="Northeast"),'Lime Rec.'!$D$9,IF(AND(Information!$C$14="Wheat",Information!$C$22&lt;=6.4,Information!$F$8="Southeast"),'Lime Rec.'!$D$9,0))))</f>
        <v>0</v>
      </c>
      <c r="E18" s="40">
        <f>IF(AND(Information!$C$15="Wheat",Information!$C$23&lt;=5.8,Information!$F$8="West"),'Lime Rec.'!$E$9,IF(AND(Information!$C$15="Wheat",Information!$C$23&lt;=5.8,Information!$F$8="Central"),'Lime Rec.'!$E$9,IF(AND(Information!$C$15="Wheat",Information!$C$23&lt;=5.8,Information!$F$8="Northeast"),'Lime Rec.'!$E$9,IF(AND(Information!$C$15="Wheat",Information!$C$23&lt;=6.4,Information!$F$8="Southeast"),'Lime Rec.'!$E$9,0))))</f>
        <v>0</v>
      </c>
      <c r="G18" s="5" t="s">
        <v>38</v>
      </c>
      <c r="H18" s="40">
        <f>IF(AND(Information!$F$12="Wheat",Information!$C$20&lt;=5.8,Information!$F$8="West"),'Lime Rec.'!$H$9,IF(AND(Information!$F$12="Wheat",Information!$C$20&lt;=5.8,Information!$F$8="Central"),'Lime Rec.'!$H$9,IF(AND(Information!$F$12="Wheat",Information!$C$20&lt;=5.8,Information!$F$8="Northeast"),'Lime Rec.'!$H$9,IF(AND(Information!$F$12="Wheat",Information!$C$20&lt;=6.4,Information!$F$8="Southeast"),'Lime Rec.'!$H$9,0))))</f>
        <v>0</v>
      </c>
      <c r="I18" s="40">
        <f>IF(AND(Information!$F$13="Wheat",Information!$C$21&lt;=5.8,Information!$F$8="West"),'Lime Rec.'!$I$9,IF(AND(Information!$F$13="Wheat",Information!$C$21&lt;=5.8,Information!$F$8="Central"),'Lime Rec.'!$I$9,IF(AND(Information!$F$13="Wheat",Information!$C$21&lt;=5.8,Information!$F$8="Northeast"),'Lime Rec.'!$I$9,IF(AND(Information!$F$13="Wheat",Information!$C$21&lt;=6.4,Information!$F$8="Southeast"),'Lime Rec.'!$I$9,0))))</f>
        <v>0</v>
      </c>
      <c r="J18" s="40">
        <f>IF(AND(Information!$F$14="Wheat",Information!$C$22&lt;=5.8,Information!$F$8="West"),'Lime Rec.'!$J$9,IF(AND(Information!$F$14="Wheat",Information!$C$22&lt;=5.8,Information!$F$8="Central"),'Lime Rec.'!$J$9,IF(AND(Information!$F$14="Wheat",Information!$C$22&lt;=5.8,Information!$F$8="Northeast"),'Lime Rec.'!$J$9,IF(AND(Information!$F$14="Wheat",Information!$C$22&lt;=6.4,Information!$F$8="Southeast"),'Lime Rec.'!$J$9,0))))</f>
        <v>0</v>
      </c>
      <c r="K18" s="40">
        <f>IF(AND(Information!$F$15="Wheat",Information!$C$23&lt;=5.8,Information!$F$8="West"),'Lime Rec.'!$K$9,IF(AND(Information!$F$15="Wheat",Information!$C$23&lt;=5.8,Information!$F$8="Central"),'Lime Rec.'!$K$9,IF(AND(Information!$F$15="Wheat",Information!$C$23&lt;=5.8,Information!$F$8="Northeast"),'Lime Rec.'!$K$9,IF(AND(Information!$F$15="Wheat",Information!$C$23&lt;=6.4,Information!$F$8="Southeast"),'Lime Rec.'!$K$9,0))))</f>
        <v>0</v>
      </c>
      <c r="M18" s="5" t="s">
        <v>38</v>
      </c>
      <c r="N18" s="40">
        <f>IF(AND(Information!$I$12="Wheat",Information!$C$20&lt;=5.8,Information!$F$8="West"),'Lime Rec.'!$N$9,IF(AND(Information!$I$12="Wheat",Information!$C$20&lt;=5.8,Information!$F$8="Central"),'Lime Rec.'!$N$9,IF(AND(Information!$I$12="Wheat",Information!$C$20&lt;=5.8,Information!$F$8="Northeast"),'Lime Rec.'!$N$9,IF(AND(Information!$I$12="Wheat",Information!$C$20&lt;=6.4,Information!$F$8="Southeast"),'Lime Rec.'!$N$9,0))))</f>
        <v>0</v>
      </c>
      <c r="O18" s="40">
        <f>IF(AND(Information!$I$13="Wheat",Information!$C$21&lt;=5.8,Information!$F$8="West"),'Lime Rec.'!$O$9,IF(AND(Information!$I$13="Wheat",Information!$C$21&lt;=5.8,Information!$F$8="Central"),'Lime Rec.'!$O$9,IF(AND(Information!$I$13="Wheat",Information!$C$21&lt;=5.8,Information!$F$8="Northeast"),'Lime Rec.'!$O$9,IF(AND(Information!$I$13="Wheat",Information!$C$21&lt;=6.4,Information!$F$8="Southeast"),'Lime Rec.'!$O$9,0))))</f>
        <v>0</v>
      </c>
      <c r="P18" s="40">
        <f>IF(AND(Information!$I$14="Wheat",Information!$C$22&lt;=5.8,Information!$F$8="West"),'Lime Rec.'!$P$9,IF(AND(Information!$I$14="Wheat",Information!$C$22&lt;=5.8,Information!$F$8="Central"),'Lime Rec.'!$P$9,IF(AND(Information!$I$14="Wheat",Information!$C$22&lt;=5.8,Information!$F$8="Northeast"),'Lime Rec.'!$P$9,IF(AND(Information!$I$14="Wheat",Information!$C$22&lt;=6.4,Information!$F$8="Southeast"),'Lime Rec.'!$P$9,0))))</f>
        <v>0</v>
      </c>
      <c r="Q18" s="40">
        <f>IF(AND(Information!$I$15="Wheat",Information!$C$23&lt;=5.8,Information!$F$8="West"),'Lime Rec.'!$Q$9,IF(AND(Information!$I$15="Wheat",Information!$C$23&lt;=5.8,Information!$F$8="Central"),'Lime Rec.'!$Q$9,IF(AND(Information!$I$15="Wheat",Information!$C$23&lt;=5.8,Information!$F$8="Northeast"),'Lime Rec.'!$Q$9,IF(AND(Information!$I$15="Wheat",Information!$C$23&lt;=6.4,Information!$F$8="Southeast"),'Lime Rec.'!$Q$9,0))))</f>
        <v>0</v>
      </c>
    </row>
    <row r="19" spans="1:17" x14ac:dyDescent="0.2">
      <c r="A19" s="5" t="s">
        <v>39</v>
      </c>
      <c r="B19" s="40">
        <f>IF(AND(Information!$C$12="Grain Sorghum",Information!$C$20&lt;=5.8,Information!$F$8="West"),'Lime Rec.'!$B$9,IF(AND(Information!$C$12="Grain Sorghum",Information!$C$20&lt;=5.8,Information!$F$8="Central"),'Lime Rec.'!$B$9,IF(AND(Information!$C$12="Grain Sorghum",Information!$C$20&lt;=5.8,Information!$F$8="Northeast"),'Lime Rec.'!$B$9,IF(AND(Information!$C$12="Grain Sorghum",Information!$C$20&lt;=6.4,Information!$F$8="Southeast"),'Lime Rec.'!$B$9,0))))</f>
        <v>0</v>
      </c>
      <c r="C19" s="40">
        <f>IF(AND(Information!$C$13="Grain Sorghum",Information!$C$21&lt;=5.8,Information!$F$8="West"),'Lime Rec.'!$C$9,IF(AND(Information!$C$13="Grain Sorghum",Information!$C$21&lt;=5.8,Information!$F$8="Central"),'Lime Rec.'!$C$9,IF(AND(Information!$C$13="Grain Sorghum",Information!$C$21&lt;=5.8,Information!$F$8="Northeast"),'Lime Rec.'!$C$9,IF(AND(Information!$C$13="Grain Sorghum",Information!$C$21&lt;=6.4,Information!$F$8="Southeast"),'Lime Rec.'!$C$9,0))))</f>
        <v>0</v>
      </c>
      <c r="D19" s="40">
        <f>IF(AND(Information!$C$14="Grain Sorghum",Information!$C$22&lt;=5.8,Information!$F$8="West"),'Lime Rec.'!$D$9,IF(AND(Information!$C$14="Grain Sorghum",Information!$C$22&lt;=5.8,Information!$F$8="Central"),'Lime Rec.'!$D$9,IF(AND(Information!$C$14="Grain Sorghum",Information!$C$22&lt;=5.8,Information!$F$8="Northeast"),'Lime Rec.'!$D$9,IF(AND(Information!$C$14="Grain Sorghum",Information!$C$22&lt;=6.4,Information!$F$8="Southeast"),'Lime Rec.'!$D$9,0))))</f>
        <v>0</v>
      </c>
      <c r="E19" s="40">
        <f>IF(AND(Information!$C$15="Grain Sorghum",Information!$C$23&lt;=5.8,Information!$F$8="West"),'Lime Rec.'!$E$9,IF(AND(Information!$C$15="Grain Sorghum",Information!$C$23&lt;=5.8,Information!$F$8="Central"),'Lime Rec.'!$E$9,IF(AND(Information!$C$15="Grain Sorghum",Information!$C$23&lt;=5.8,Information!$F$8="Northeast"),'Lime Rec.'!$E$9,IF(AND(Information!$C$15="Grain Sorghum",Information!$C$23&lt;=6.4,Information!$F$8="Southeast"),'Lime Rec.'!$E$9,0))))</f>
        <v>0</v>
      </c>
      <c r="G19" s="5" t="s">
        <v>39</v>
      </c>
      <c r="H19" s="40">
        <f>IF(AND(Information!$F$12="Grain Sorghum",Information!$C$20&lt;=5.8,Information!$F$8="West"),'Lime Rec.'!$H$9,IF(AND(Information!$F$12="Grain Sorghum",Information!$C$20&lt;=5.8,Information!$F$8="Central"),'Lime Rec.'!$H$9,IF(AND(Information!$F$12="Grain Sorghum",Information!$C$20&lt;=5.8,Information!$F$8="Northeast"),'Lime Rec.'!$H$9,IF(AND(Information!$F$12="Grain Sorghum",Information!$C$20&lt;=6.4,Information!$F$8="Southeast"),'Lime Rec.'!$H$9,0))))</f>
        <v>0</v>
      </c>
      <c r="I19" s="40">
        <f>IF(AND(Information!$F$13="Grain Sorghum",Information!$C$21&lt;=5.8,Information!$F$8="West"),'Lime Rec.'!$I$9,IF(AND(Information!$F$13="Grain Sorghum",Information!$C$21&lt;=5.8,Information!$F$8="Central"),'Lime Rec.'!$I$9,IF(AND(Information!$F$13="Grain Sorghum",Information!$C$21&lt;=5.8,Information!$F$8="Northeast"),'Lime Rec.'!$I$9,IF(AND(Information!$F$13="Grain Sorghum",Information!$C$21&lt;=6.4,Information!$F$8="Southeast"),'Lime Rec.'!$I$9,0))))</f>
        <v>0</v>
      </c>
      <c r="J19" s="40">
        <f>IF(AND(Information!$F$14="Grain Sorghum",Information!$C$22&lt;=5.8,Information!$F$8="West"),'Lime Rec.'!$J$9,IF(AND(Information!$F$14="Grain Sorghum",Information!$C$22&lt;=5.8,Information!$F$8="Central"),'Lime Rec.'!$J$9,IF(AND(Information!$F$14="Grain Sorghum",Information!$C$22&lt;=5.8,Information!$F$8="Northeast"),'Lime Rec.'!$J$9,IF(AND(Information!$F$14="Grain Sorghum",Information!$C$22&lt;=6.4,Information!$F$8="Southeast"),'Lime Rec.'!$J$9,0))))</f>
        <v>0</v>
      </c>
      <c r="K19" s="40">
        <f>IF(AND(Information!$F$15="Grain Sorghum",Information!$C$23&lt;=5.8,Information!$F$8="West"),'Lime Rec.'!$K$9,IF(AND(Information!$F$15="Grain Sorghum",Information!$C$23&lt;=5.8,Information!$F$8="Central"),'Lime Rec.'!$K$9,IF(AND(Information!$F$15="Grain Sorghum",Information!$C$23&lt;=5.8,Information!$F$8="Northeast"),'Lime Rec.'!$K$9,IF(AND(Information!$F$15="Grain Sorghum",Information!$C$23&lt;=6.4,Information!$F$8="Southeast"),'Lime Rec.'!$K$9,0))))</f>
        <v>0</v>
      </c>
      <c r="M19" s="5" t="s">
        <v>39</v>
      </c>
      <c r="N19" s="40">
        <f>IF(AND(Information!$I$12="Grain Sorghum",Information!$C$20&lt;=5.8,Information!$F$8="West"),'Lime Rec.'!$N$9,IF(AND(Information!$I$12="Grain Sorghum",Information!$C$20&lt;=5.8,Information!$F$8="Central"),'Lime Rec.'!$N$9,IF(AND(Information!$I$12="Grain Sorghum",Information!$C$20&lt;=5.8,Information!$F$8="Northeast"),'Lime Rec.'!$N$9,IF(AND(Information!$I$12="Grain Sorghum",Information!$C$20&lt;=6.4,Information!$F$8="Southeast"),'Lime Rec.'!$N$9,0))))</f>
        <v>0</v>
      </c>
      <c r="O19" s="40">
        <f>IF(AND(Information!$I$13="Grain Sorghum",Information!$C$21&lt;=5.8,Information!$F$8="West"),'Lime Rec.'!$O$9,IF(AND(Information!$I$13="Grain Sorghum",Information!$C$21&lt;=5.8,Information!$F$8="Central"),'Lime Rec.'!$O$9,IF(AND(Information!$I$13="Grain Sorghum",Information!$C$21&lt;=5.8,Information!$F$8="Northeast"),'Lime Rec.'!$O$9,IF(AND(Information!$I$13="Grain Sorghum",Information!$C$21&lt;=6.4,Information!$F$8="Southeast"),'Lime Rec.'!$O$9,0))))</f>
        <v>0</v>
      </c>
      <c r="P19" s="40">
        <f>IF(AND(Information!$I$14="Grain Sorghum",Information!$C$22&lt;=5.8,Information!$F$8="West"),'Lime Rec.'!$P$9,IF(AND(Information!$I$14="Grain Sorghum",Information!$C$22&lt;=5.8,Information!$F$8="Central"),'Lime Rec.'!$P$9,IF(AND(Information!$I$14="Grain Sorghum",Information!$C$22&lt;=5.8,Information!$F$8="Northeast"),'Lime Rec.'!$P$9,IF(AND(Information!$I$14="Grain Sorghum",Information!$C$22&lt;=6.4,Information!$F$8="Southeast"),'Lime Rec.'!$P$9,0))))</f>
        <v>0</v>
      </c>
      <c r="Q19" s="40">
        <f>IF(AND(Information!$I$15="Grain Sorghum",Information!$C$23&lt;=5.8,Information!$F$8="West"),'Lime Rec.'!$Q$9,IF(AND(Information!$I$15="Grain Sorghum",Information!$C$23&lt;=5.8,Information!$F$8="Central"),'Lime Rec.'!$Q$9,IF(AND(Information!$I$15="Grain Sorghum",Information!$C$23&lt;=5.8,Information!$F$8="Northeast"),'Lime Rec.'!$Q$9,IF(AND(Information!$I$15="Grain Sorghum",Information!$C$23&lt;=6.4,Information!$F$8="Southeast"),'Lime Rec.'!$Q$9,0))))</f>
        <v>0</v>
      </c>
    </row>
    <row r="20" spans="1:17" x14ac:dyDescent="0.2">
      <c r="A20" s="5" t="s">
        <v>40</v>
      </c>
      <c r="B20" s="40">
        <f>IF(AND(Information!$C$12="Silage-Corn",Information!$C$20&lt;=5.8,Information!$F$8="West"),'Lime Rec.'!$B$9,IF(AND(Information!$C$12="Silage-Corn",Information!$C$20&lt;=5.8,Information!$F$8="Central"),'Lime Rec.'!$B$9,IF(AND(Information!$C$12="Silage-Corn",Information!$C$20&lt;=5.8,Information!$F$8="Northeast"),'Lime Rec.'!$B$9,IF(AND(Information!$C$12="Silage-Corn",Information!$C$20&lt;=6.4,Information!$F$8="Southeast"),'Lime Rec.'!$B$9,0))))</f>
        <v>0</v>
      </c>
      <c r="C20" s="40">
        <f>IF(AND(Information!$C$13="Silage-Corn",Information!$C$21&lt;=5.8,Information!$F$8="West"),'Lime Rec.'!$C$9,IF(AND(Information!$C$13="Silage-Corn",Information!$C$21&lt;=5.8,Information!$F$8="Central"),'Lime Rec.'!$C$9,IF(AND(Information!$C$13="Silage-Corn",Information!$C$21&lt;=5.8,Information!$F$8="Northeast"),'Lime Rec.'!$C$9,IF(AND(Information!$C$13="Silage-Corn",Information!$C$21&lt;=6.4,Information!$F$8="Southeast"),'Lime Rec.'!$C$9,0))))</f>
        <v>0</v>
      </c>
      <c r="D20" s="40">
        <f>IF(AND(Information!$C$14="Silage-Corn",Information!$C$22&lt;=5.8,Information!$F$8="West"),'Lime Rec.'!$D$9,IF(AND(Information!$C$14="Silage-Corn",Information!$C$22&lt;=5.8,Information!$F$8="Central"),'Lime Rec.'!$D$9,IF(AND(Information!$C$14="Silage-Corn",Information!$C$22&lt;=5.8,Information!$F$8="Northeast"),'Lime Rec.'!$D$9,IF(AND(Information!$C$14="Silage-Corn",Information!$C$22&lt;=6.4,Information!$F$8="Southeast"),'Lime Rec.'!$D$9,0))))</f>
        <v>0</v>
      </c>
      <c r="E20" s="40">
        <f>IF(AND(Information!$C$15="Silage-Corn",Information!$C$23&lt;=5.8,Information!$F$8="West"),'Lime Rec.'!$E$9,IF(AND(Information!$C$15="Silage-Corn",Information!$C$23&lt;=5.8,Information!$F$8="Central"),'Lime Rec.'!$E$9,IF(AND(Information!$C$15="Silage-Corn",Information!$C$23&lt;=5.8,Information!$F$8="Northeast"),'Lime Rec.'!$E$9,IF(AND(Information!$C$15="Silage-Corn",Information!$C$23&lt;=6.4,Information!$F$8="Southeast"),'Lime Rec.'!$E$9,0))))</f>
        <v>0</v>
      </c>
      <c r="G20" s="5" t="s">
        <v>40</v>
      </c>
      <c r="H20" s="40">
        <f>IF(AND(Information!$F$12="Silage-Corn",Information!$C$20&lt;=5.8,Information!$F$8="West"),'Lime Rec.'!$H$9,IF(AND(Information!$F$12="Silage-Corn",Information!$C$20&lt;=5.8,Information!$F$8="Central"),'Lime Rec.'!$H$9,IF(AND(Information!$F$12="Silage-Corn",Information!$C$20&lt;=5.8,Information!$F$8="Northeast"),'Lime Rec.'!$H$9,IF(AND(Information!$F$12="Silage-Corn",Information!$C$20&lt;=6.4,Information!$F$8="Southeast"),'Lime Rec.'!$H$9,0))))</f>
        <v>0</v>
      </c>
      <c r="I20" s="40">
        <f>IF(AND(Information!$F$13="Silage-Corn",Information!$C$21&lt;=5.8,Information!$F$8="West"),'Lime Rec.'!$I$9,IF(AND(Information!$F$13="Silage-Corn",Information!$C$21&lt;=5.8,Information!$F$8="Central"),'Lime Rec.'!$I$9,IF(AND(Information!$F$13="Silage-Corn",Information!$C$21&lt;=5.8,Information!$F$8="Northeast"),'Lime Rec.'!$I$9,IF(AND(Information!$F$13="Silage-Corn",Information!$C$21&lt;=6.4,Information!$F$8="Southeast"),'Lime Rec.'!$I$9,0))))</f>
        <v>0</v>
      </c>
      <c r="J20" s="40">
        <f>IF(AND(Information!$F$14="Silage-Corn",Information!$C$22&lt;=5.8,Information!$F$8="West"),'Lime Rec.'!$J$9,IF(AND(Information!$F$14="Silage-Corn",Information!$C$22&lt;=5.8,Information!$F$8="Central"),'Lime Rec.'!$J$9,IF(AND(Information!$F$14="Silage-Corn",Information!$C$22&lt;=5.8,Information!$F$8="Northeast"),'Lime Rec.'!$J$9,IF(AND(Information!$F$14="Silage-Corn",Information!$C$22&lt;=6.4,Information!$F$8="Southeast"),'Lime Rec.'!$J$9,0))))</f>
        <v>0</v>
      </c>
      <c r="K20" s="40">
        <f>IF(AND(Information!$F$15="Silage-Corn",Information!$C$23&lt;=5.8,Information!$F$8="West"),'Lime Rec.'!$K$9,IF(AND(Information!$F$15="Silage-Corn",Information!$C$23&lt;=5.8,Information!$F$8="Central"),'Lime Rec.'!$K$9,IF(AND(Information!$F$15="Silage-Corn",Information!$C$23&lt;=5.8,Information!$F$8="Northeast"),'Lime Rec.'!$K$9,IF(AND(Information!$F$15="Silage-Corn",Information!$C$23&lt;=6.4,Information!$F$8="Southeast"),'Lime Rec.'!$K$9,0))))</f>
        <v>0</v>
      </c>
      <c r="M20" s="5" t="s">
        <v>40</v>
      </c>
      <c r="N20" s="40">
        <f>IF(AND(Information!$I$12="Silage-Corn",Information!$C$20&lt;=5.8,Information!$F$8="West"),'Lime Rec.'!$N$9,IF(AND(Information!$I$12="Silage-Corn",Information!$C$20&lt;=5.8,Information!$F$8="Central"),'Lime Rec.'!$N$9,IF(AND(Information!$I$12="Silage-Corn",Information!$C$20&lt;=5.8,Information!$F$8="Northeast"),'Lime Rec.'!$N$9,IF(AND(Information!$I$12="Silage-Corn",Information!$C$20&lt;=6.4,Information!$F$8="Southeast"),'Lime Rec.'!$N$9,0))))</f>
        <v>0</v>
      </c>
      <c r="O20" s="40">
        <f>IF(AND(Information!$I$13="Silage-Corn",Information!$C$21&lt;=5.8,Information!$F$8="West"),'Lime Rec.'!$O$9,IF(AND(Information!$I$13="Silage-Corn",Information!$C$21&lt;=5.8,Information!$F$8="Central"),'Lime Rec.'!$O$9,IF(AND(Information!$I$13="Silage-Corn",Information!$C$21&lt;=5.8,Information!$F$8="Northeast"),'Lime Rec.'!$O$9,IF(AND(Information!$I$13="Silage-Corn",Information!$C$21&lt;=6.4,Information!$F$8="Southeast"),'Lime Rec.'!$O$9,0))))</f>
        <v>0</v>
      </c>
      <c r="P20" s="40">
        <f>IF(AND(Information!$I$14="Silage-Corn",Information!$C$22&lt;=5.8,Information!$F$8="West"),'Lime Rec.'!$P$9,IF(AND(Information!$I$14="Silage-Corn",Information!$C$22&lt;=5.8,Information!$F$8="Central"),'Lime Rec.'!$P$9,IF(AND(Information!$I$14="Silage-Corn",Information!$C$22&lt;=5.8,Information!$F$8="Northeast"),'Lime Rec.'!$P$9,IF(AND(Information!$I$14="Silage-Corn",Information!$C$22&lt;=6.4,Information!$F$8="Southeast"),'Lime Rec.'!$P$9,0))))</f>
        <v>0</v>
      </c>
      <c r="Q20" s="40">
        <f>IF(AND(Information!$I$15="Silage-Corn",Information!$C$23&lt;=5.8,Information!$F$8="West"),'Lime Rec.'!$Q$9,IF(AND(Information!$I$15="Silage-Corn",Information!$C$23&lt;=5.8,Information!$F$8="Central"),'Lime Rec.'!$Q$9,IF(AND(Information!$I$15="Silage-Corn",Information!$C$23&lt;=5.8,Information!$F$8="Northeast"),'Lime Rec.'!$Q$9,IF(AND(Information!$I$15="Silage-Corn",Information!$C$23&lt;=6.4,Information!$F$8="Southeast"),'Lime Rec.'!$Q$9,0))))</f>
        <v>0</v>
      </c>
    </row>
    <row r="21" spans="1:17" x14ac:dyDescent="0.2">
      <c r="A21" s="5" t="s">
        <v>41</v>
      </c>
      <c r="B21" s="40">
        <f>IF(AND(Information!$C$12="Silage-Sorghum",Information!$C$20&lt;=5.8,Information!$F$8="West"),'Lime Rec.'!$B$9,IF(AND(Information!$C$12="Silage-Sorghum",Information!$C$20&lt;=5.8,Information!$F$8="Central"),'Lime Rec.'!$B$9,IF(AND(Information!$C$12="Silage-Sorghum",Information!$C$20&lt;=5.8,Information!$F$8="Northeast"),'Lime Rec.'!$B$9,IF(AND(Information!$C$12="Silage-Sorghum",Information!$C$20&lt;=6.4,Information!$F$8="Southeast"),'Lime Rec.'!$B$9,0))))</f>
        <v>0</v>
      </c>
      <c r="C21" s="40">
        <f>IF(AND(Information!$C$13="Silage-Sorghum",Information!$C$21&lt;=5.8,Information!$F$8="West"),'Lime Rec.'!$C$9,IF(AND(Information!$C$13="Silage-Sorghum",Information!$C$21&lt;=5.8,Information!$F$8="Central"),'Lime Rec.'!$C$9,IF(AND(Information!$C$13="Silage-Sorghum",Information!$C$21&lt;=5.8,Information!$F$8="Northeast"),'Lime Rec.'!$C$9,IF(AND(Information!$C$13="Silage-Sorghum",Information!$C$21&lt;=6.4,Information!$F$8="Southeast"),'Lime Rec.'!$C$9,0))))</f>
        <v>0</v>
      </c>
      <c r="D21" s="40">
        <f>IF(AND(Information!$C$14="Silage-Sorghum",Information!$C$22&lt;=5.8,Information!$F$8="West"),'Lime Rec.'!$D$9,IF(AND(Information!$C$14="Silage-Sorghum",Information!$C$22&lt;=5.8,Information!$F$8="Central"),'Lime Rec.'!$D$9,IF(AND(Information!$C$14="Silage-Sorghum",Information!$C$22&lt;=5.8,Information!$F$8="Northeast"),'Lime Rec.'!$D$9,IF(AND(Information!$C$14="Silage-Sorghum",Information!$C$22&lt;=6.4,Information!$F$8="Southeast"),'Lime Rec.'!$D$9,0))))</f>
        <v>0</v>
      </c>
      <c r="E21" s="40">
        <f>IF(AND(Information!$C$15="Silage-Sorghum",Information!$C$23&lt;=5.8,Information!$F$8="West"),'Lime Rec.'!$E$9,IF(AND(Information!$C$15="Silage-Sorghum",Information!$C$23&lt;=5.8,Information!$F$8="Central"),'Lime Rec.'!$E$9,IF(AND(Information!$C$15="Silage-Sorghum",Information!$C$23&lt;=5.8,Information!$F$8="Northeast"),'Lime Rec.'!$E$9,IF(AND(Information!$C$15="Silage-Sorghum",Information!$C$23&lt;=6.4,Information!$F$8="Southeast"),'Lime Rec.'!$E$9,0))))</f>
        <v>0</v>
      </c>
      <c r="G21" s="5" t="s">
        <v>41</v>
      </c>
      <c r="H21" s="40">
        <f>IF(AND(Information!$F$12="Silage-Sorghum",Information!$C$20&lt;=5.8,Information!$F$8="West"),'Lime Rec.'!$H$9,IF(AND(Information!$F$12="Silage-Sorghum",Information!$C$20&lt;=5.8,Information!$F$8="Central"),'Lime Rec.'!$H$9,IF(AND(Information!$F$12="Silage-Sorghum",Information!$C$20&lt;=5.8,Information!$F$8="Northeast"),'Lime Rec.'!$H$9,IF(AND(Information!$F$12="Silage-Sorghum",Information!$C$20&lt;=6.4,Information!$F$8="Southeast"),'Lime Rec.'!$H$9,0))))</f>
        <v>0</v>
      </c>
      <c r="I21" s="40">
        <f>IF(AND(Information!$F$13="Silage-Sorghum",Information!$C$21&lt;=5.8,Information!$F$8="West"),'Lime Rec.'!$I$9,IF(AND(Information!$F$13="Silage-Sorghum",Information!$C$21&lt;=5.8,Information!$F$8="Central"),'Lime Rec.'!$I$9,IF(AND(Information!$F$13="Silage-Sorghum",Information!$C$21&lt;=5.8,Information!$F$8="Northeast"),'Lime Rec.'!$I$9,IF(AND(Information!$F$13="Silage-Sorghum",Information!$C$21&lt;=6.4,Information!$F$8="Southeast"),'Lime Rec.'!$I$9,0))))</f>
        <v>0</v>
      </c>
      <c r="J21" s="40">
        <f>IF(AND(Information!$F$14="Silage-Sorghum",Information!$C$22&lt;=5.8,Information!$F$8="West"),'Lime Rec.'!$J$9,IF(AND(Information!$F$14="Silage-Sorghum",Information!$C$22&lt;=5.8,Information!$F$8="Central"),'Lime Rec.'!$J$9,IF(AND(Information!$F$14="Silage-Sorghum",Information!$C$22&lt;=5.8,Information!$F$8="Northeast"),'Lime Rec.'!$J$9,IF(AND(Information!$F$14="Silage-Sorghum",Information!$C$22&lt;=6.4,Information!$F$8="Southeast"),'Lime Rec.'!$J$9,0))))</f>
        <v>0</v>
      </c>
      <c r="K21" s="40">
        <f>IF(AND(Information!$F$15="Silage-Sorghum",Information!$C$23&lt;=5.8,Information!$F$8="West"),'Lime Rec.'!$K$9,IF(AND(Information!$F$15="Silage-Sorghum",Information!$C$23&lt;=5.8,Information!$F$8="Central"),'Lime Rec.'!$K$9,IF(AND(Information!$F$15="Silage-Sorghum",Information!$C$23&lt;=5.8,Information!$F$8="Northeast"),'Lime Rec.'!$K$9,IF(AND(Information!$F$15="Silage-Sorghum",Information!$C$23&lt;=6.4,Information!$F$8="Southeast"),'Lime Rec.'!$K$9,0))))</f>
        <v>0</v>
      </c>
      <c r="M21" s="5" t="s">
        <v>41</v>
      </c>
      <c r="N21" s="40">
        <f>IF(AND(Information!$I$12="Silage-Sorghum",Information!$C$20&lt;=5.8,Information!$F$8="West"),'Lime Rec.'!$N$9,IF(AND(Information!$I$12="Silage-Sorghum",Information!$C$20&lt;=5.8,Information!$F$8="Central"),'Lime Rec.'!$N$9,IF(AND(Information!$I$12="Silage-Sorghum",Information!$C$20&lt;=5.8,Information!$F$8="Northeast"),'Lime Rec.'!$N$9,IF(AND(Information!$I$12="Silage-Sorghum",Information!$C$20&lt;=6.4,Information!$F$8="Southeast"),'Lime Rec.'!$N$9,0))))</f>
        <v>0</v>
      </c>
      <c r="O21" s="40">
        <f>IF(AND(Information!$I$13="Silage-Sorghum",Information!$C$21&lt;=5.8,Information!$F$8="West"),'Lime Rec.'!$O$9,IF(AND(Information!$I$13="Silage-Sorghum",Information!$C$21&lt;=5.8,Information!$F$8="Central"),'Lime Rec.'!$O$9,IF(AND(Information!$I$13="Silage-Sorghum",Information!$C$21&lt;=5.8,Information!$F$8="Northeast"),'Lime Rec.'!$O$9,IF(AND(Information!$I$13="Silage-Sorghum",Information!$C$21&lt;=6.4,Information!$F$8="Southeast"),'Lime Rec.'!$O$9,0))))</f>
        <v>0</v>
      </c>
      <c r="P21" s="40">
        <f>IF(AND(Information!$I$14="Silage-Sorghum",Information!$C$22&lt;=5.8,Information!$F$8="West"),'Lime Rec.'!$P$9,IF(AND(Information!$I$14="Silage-Sorghum",Information!$C$22&lt;=5.8,Information!$F$8="Central"),'Lime Rec.'!$P$9,IF(AND(Information!$I$14="Silage-Sorghum",Information!$C$22&lt;=5.8,Information!$F$8="Northeast"),'Lime Rec.'!$P$9,IF(AND(Information!$I$14="Silage-Sorghum",Information!$C$22&lt;=6.4,Information!$F$8="Southeast"),'Lime Rec.'!$P$9,0))))</f>
        <v>0</v>
      </c>
      <c r="Q21" s="40">
        <f>IF(AND(Information!$I$15="Silage-Sorghum",Information!$C$23&lt;=5.8,Information!$F$8="West"),'Lime Rec.'!$Q$9,IF(AND(Information!$I$15="Silage-Sorghum",Information!$C$23&lt;=5.8,Information!$F$8="Central"),'Lime Rec.'!$Q$9,IF(AND(Information!$I$15="Silage-Sorghum",Information!$C$23&lt;=5.8,Information!$F$8="Northeast"),'Lime Rec.'!$Q$9,IF(AND(Information!$I$15="Silage-Sorghum",Information!$C$23&lt;=6.4,Information!$F$8="Southeast"),'Lime Rec.'!$Q$9,0))))</f>
        <v>0</v>
      </c>
    </row>
    <row r="22" spans="1:17" x14ac:dyDescent="0.2">
      <c r="A22" s="5" t="s">
        <v>42</v>
      </c>
      <c r="B22" s="40">
        <f>IF(AND(Information!$C$12="Sunflower",Information!$C$20&lt;=5.8,Information!$F$8="West"),'Lime Rec.'!$B$9,IF(AND(Information!$C$12="Sunflower",Information!$C$20&lt;=5.8,Information!$F$8="Central"),'Lime Rec.'!$B$9,IF(AND(Information!$C$12="Sunflower",Information!$C$20&lt;=5.8,Information!$F$8="Northeast"),'Lime Rec.'!$B$9,IF(AND(Information!$C$12="Sunflower",Information!$C$20&lt;=6.4,Information!$F$8="Southeast"),'Lime Rec.'!$B$9,0))))</f>
        <v>0</v>
      </c>
      <c r="C22" s="40">
        <f>IF(AND(Information!$C$13="Sunflower",Information!$C$21&lt;=5.8,Information!$F$8="West"),'Lime Rec.'!$C$9,IF(AND(Information!$C$13="Sunflower",Information!$C$21&lt;=5.8,Information!$F$8="Central"),'Lime Rec.'!$C$9,IF(AND(Information!$C$13="Sunflower",Information!$C$21&lt;=5.8,Information!$F$8="Northeast"),'Lime Rec.'!$C$9,IF(AND(Information!$C$13="Sunflower",Information!$C$21&lt;=6.4,Information!$F$8="Southeast"),'Lime Rec.'!$C$9,0))))</f>
        <v>0</v>
      </c>
      <c r="D22" s="40">
        <f>IF(AND(Information!$C$14="Sunflower",Information!$C$22&lt;=5.8,Information!$F$8="West"),'Lime Rec.'!$D$9,IF(AND(Information!$C$14="Sunflower",Information!$C$22&lt;=5.8,Information!$F$8="Central"),'Lime Rec.'!$D$9,IF(AND(Information!$C$14="Sunflower",Information!$C$22&lt;=5.8,Information!$F$8="Northeast"),'Lime Rec.'!$D$9,IF(AND(Information!$C$14="Sunflower",Information!$C$22&lt;=6.4,Information!$F$8="Southeast"),'Lime Rec.'!$D$9,0))))</f>
        <v>0</v>
      </c>
      <c r="E22" s="40">
        <f>IF(AND(Information!$C$15="Sunflower",Information!$C$23&lt;=5.8,Information!$F$8="West"),'Lime Rec.'!$E$9,IF(AND(Information!$C$15="Sunflower",Information!$C$23&lt;=5.8,Information!$F$8="Central"),'Lime Rec.'!$E$9,IF(AND(Information!$C$15="Sunflower",Information!$C$23&lt;=5.8,Information!$F$8="Northeast"),'Lime Rec.'!$E$9,IF(AND(Information!$C$15="Sunflower",Information!$C$23&lt;=6.4,Information!$F$8="Southeast"),'Lime Rec.'!$E$9,0))))</f>
        <v>0</v>
      </c>
      <c r="G22" s="5" t="s">
        <v>42</v>
      </c>
      <c r="H22" s="40">
        <f>IF(AND(Information!$F$12="Sunflower",Information!$C$20&lt;=5.8,Information!$F$8="West"),'Lime Rec.'!$H$9,IF(AND(Information!$F$12="Sunflower",Information!$C$20&lt;=5.8,Information!$F$8="Central"),'Lime Rec.'!$H$9,IF(AND(Information!$F$12="Sunflower",Information!$C$20&lt;=5.8,Information!$F$8="Northeast"),'Lime Rec.'!$H$9,IF(AND(Information!$F$12="Sunflower",Information!$C$20&lt;=6.4,Information!$F$8="Southeast"),'Lime Rec.'!$H$9,0))))</f>
        <v>0</v>
      </c>
      <c r="I22" s="40">
        <f>IF(AND(Information!$F$13="Sunflower",Information!$C$21&lt;=5.8,Information!$F$8="West"),'Lime Rec.'!$I$9,IF(AND(Information!$F$13="Sunflower",Information!$C$21&lt;=5.8,Information!$F$8="Central"),'Lime Rec.'!$I$9,IF(AND(Information!$F$13="Sunflower",Information!$C$21&lt;=5.8,Information!$F$8="Northeast"),'Lime Rec.'!$I$9,IF(AND(Information!$F$13="Sunflower",Information!$C$21&lt;=6.4,Information!$F$8="Southeast"),'Lime Rec.'!$I$9,0))))</f>
        <v>0</v>
      </c>
      <c r="J22" s="40">
        <f>IF(AND(Information!$F$14="Sunflower",Information!$C$22&lt;=5.8,Information!$F$8="West"),'Lime Rec.'!$J$9,IF(AND(Information!$F$14="Sunflower",Information!$C$22&lt;=5.8,Information!$F$8="Central"),'Lime Rec.'!$J$9,IF(AND(Information!$F$14="Sunflower",Information!$C$22&lt;=5.8,Information!$F$8="Northeast"),'Lime Rec.'!$J$9,IF(AND(Information!$F$14="Sunflower",Information!$C$22&lt;=6.4,Information!$F$8="Southeast"),'Lime Rec.'!$J$9,0))))</f>
        <v>0</v>
      </c>
      <c r="K22" s="40">
        <f>IF(AND(Information!$F$15="Sunflower",Information!$C$23&lt;=5.8,Information!$F$8="West"),'Lime Rec.'!$K$9,IF(AND(Information!$F$15="Sunflower",Information!$C$23&lt;=5.8,Information!$F$8="Central"),'Lime Rec.'!$K$9,IF(AND(Information!$F$15="Sunflower",Information!$C$23&lt;=5.8,Information!$F$8="Northeast"),'Lime Rec.'!$K$9,IF(AND(Information!$F$15="Sunflower",Information!$C$23&lt;=6.4,Information!$F$8="Southeast"),'Lime Rec.'!$K$9,0))))</f>
        <v>0</v>
      </c>
      <c r="M22" s="5" t="s">
        <v>42</v>
      </c>
      <c r="N22" s="40">
        <f>IF(AND(Information!$I$12="Sunflower",Information!$C$20&lt;=5.8,Information!$F$8="West"),'Lime Rec.'!$N$9,IF(AND(Information!$I$12="Sunflower",Information!$C$20&lt;=5.8,Information!$F$8="Central"),'Lime Rec.'!$N$9,IF(AND(Information!$I$12="Sunflower",Information!$C$20&lt;=5.8,Information!$F$8="Northeast"),'Lime Rec.'!$N$9,IF(AND(Information!$I$12="Sunflower",Information!$C$20&lt;=6.4,Information!$F$8="Southeast"),'Lime Rec.'!$N$9,0))))</f>
        <v>0</v>
      </c>
      <c r="O22" s="40">
        <f>IF(AND(Information!$I$13="Sunflower",Information!$C$21&lt;=5.8,Information!$F$8="West"),'Lime Rec.'!$O$9,IF(AND(Information!$I$13="Sunflower",Information!$C$21&lt;=5.8,Information!$F$8="Central"),'Lime Rec.'!$O$9,IF(AND(Information!$I$13="Sunflower",Information!$C$21&lt;=5.8,Information!$F$8="Northeast"),'Lime Rec.'!$O$9,IF(AND(Information!$I$13="Sunflower",Information!$C$21&lt;=6.4,Information!$F$8="Southeast"),'Lime Rec.'!$O$9,0))))</f>
        <v>0</v>
      </c>
      <c r="P22" s="40">
        <f>IF(AND(Information!$I$14="Sunflower",Information!$C$22&lt;=5.8,Information!$F$8="West"),'Lime Rec.'!$P$9,IF(AND(Information!$I$14="Sunflower",Information!$C$22&lt;=5.8,Information!$F$8="Central"),'Lime Rec.'!$P$9,IF(AND(Information!$I$14="Sunflower",Information!$C$22&lt;=5.8,Information!$F$8="Northeast"),'Lime Rec.'!$P$9,IF(AND(Information!$I$14="Sunflower",Information!$C$22&lt;=6.4,Information!$F$8="Southeast"),'Lime Rec.'!$P$9,0))))</f>
        <v>0</v>
      </c>
      <c r="Q22" s="40">
        <f>IF(AND(Information!$I$15="Sunflower",Information!$C$23&lt;=5.8,Information!$F$8="West"),'Lime Rec.'!$Q$9,IF(AND(Information!$I$15="Sunflower",Information!$C$23&lt;=5.8,Information!$F$8="Central"),'Lime Rec.'!$Q$9,IF(AND(Information!$I$15="Sunflower",Information!$C$23&lt;=5.8,Information!$F$8="Northeast"),'Lime Rec.'!$Q$9,IF(AND(Information!$I$15="Sunflower",Information!$C$23&lt;=6.4,Information!$F$8="Southeast"),'Lime Rec.'!$Q$9,0))))</f>
        <v>0</v>
      </c>
    </row>
    <row r="23" spans="1:17" x14ac:dyDescent="0.2">
      <c r="A23" s="5" t="s">
        <v>43</v>
      </c>
      <c r="B23" s="40">
        <f>IF(AND(Information!$C$12="Oats",Information!$C$20&lt;=5.8,Information!$F$8="West"),'Lime Rec.'!$B$9,IF(AND(Information!$C$12="Oats",Information!$C$20&lt;=5.8,Information!$F$8="Central"),'Lime Rec.'!$B$9,IF(AND(Information!$C$12="Oats",Information!$C$20&lt;=5.8,Information!$F$8="Northeast"),'Lime Rec.'!$B$9,IF(AND(Information!$C$12="Oats",Information!$C$20&lt;=6.4,Information!$F$8="Southeast"),'Lime Rec.'!$B$9,0))))</f>
        <v>0</v>
      </c>
      <c r="C23" s="40">
        <f>IF(AND(Information!$C$13="Oats",Information!$C$21&lt;=5.8,Information!$F$8="West"),'Lime Rec.'!$C$9,IF(AND(Information!$C$13="Oats",Information!$C$21&lt;=5.8,Information!$F$8="Central"),'Lime Rec.'!$C$9,IF(AND(Information!$C$13="Oats",Information!$C$21&lt;=5.8,Information!$F$8="Northeast"),'Lime Rec.'!$C$9,IF(AND(Information!$C$13="Oats",Information!$C$21&lt;=6.4,Information!$F$8="Southeast"),'Lime Rec.'!$C$9,0))))</f>
        <v>0</v>
      </c>
      <c r="D23" s="40">
        <f>IF(AND(Information!$C$14="Oats",Information!$C$22&lt;=5.8,Information!$F$8="West"),'Lime Rec.'!$D$9,IF(AND(Information!$C$14="Oats",Information!$C$22&lt;=5.8,Information!$F$8="Central"),'Lime Rec.'!$D$9,IF(AND(Information!$C$14="Oats",Information!$C$22&lt;=5.8,Information!$F$8="Northeast"),'Lime Rec.'!$D$9,IF(AND(Information!$C$14="Oats",Information!$C$22&lt;=6.4,Information!$F$8="Southeast"),'Lime Rec.'!$D$9,0))))</f>
        <v>0</v>
      </c>
      <c r="E23" s="40">
        <f>IF(AND(Information!$C$15="Oats",Information!$C$23&lt;=5.8,Information!$F$8="West"),'Lime Rec.'!$E$9,IF(AND(Information!$C$15="Oats",Information!$C$23&lt;=5.8,Information!$F$8="Central"),'Lime Rec.'!$E$9,IF(AND(Information!$C$15="Oats",Information!$C$23&lt;=5.8,Information!$F$8="Northeast"),'Lime Rec.'!$E$9,IF(AND(Information!$C$15="Oats",Information!$C$23&lt;=6.4,Information!$F$8="Southeast"),'Lime Rec.'!$E$9,0))))</f>
        <v>0</v>
      </c>
      <c r="G23" s="5" t="s">
        <v>43</v>
      </c>
      <c r="H23" s="40">
        <f>IF(AND(Information!$F$12="Oats",Information!$C$20&lt;=5.8,Information!$F$8="West"),'Lime Rec.'!$H$9,IF(AND(Information!$F$12="Oats",Information!$C$20&lt;=5.8,Information!$F$8="Central"),'Lime Rec.'!$H$9,IF(AND(Information!$F$12="Oats",Information!$C$20&lt;=5.8,Information!$F$8="Northeast"),'Lime Rec.'!$H$9,IF(AND(Information!$F$12="Oats",Information!$C$20&lt;=6.4,Information!$F$8="Southeast"),'Lime Rec.'!$H$9,0))))</f>
        <v>0</v>
      </c>
      <c r="I23" s="40">
        <f>IF(AND(Information!$F$13="Oats",Information!$C$21&lt;=5.8,Information!$F$8="West"),'Lime Rec.'!$I$9,IF(AND(Information!$F$13="Oats",Information!$C$21&lt;=5.8,Information!$F$8="Central"),'Lime Rec.'!$I$9,IF(AND(Information!$F$13="Oats",Information!$C$21&lt;=5.8,Information!$F$8="Northeast"),'Lime Rec.'!$I$9,IF(AND(Information!$F$13="Oats",Information!$C$21&lt;=6.4,Information!$F$8="Southeast"),'Lime Rec.'!$I$9,0))))</f>
        <v>0</v>
      </c>
      <c r="J23" s="40">
        <f>IF(AND(Information!$F$14="Oats",Information!$C$22&lt;=5.8,Information!$F$8="West"),'Lime Rec.'!$J$9,IF(AND(Information!$F$14="Oats",Information!$C$22&lt;=5.8,Information!$F$8="Central"),'Lime Rec.'!$J$9,IF(AND(Information!$F$14="Oats",Information!$C$22&lt;=5.8,Information!$F$8="Northeast"),'Lime Rec.'!$J$9,IF(AND(Information!$F$14="Oats",Information!$C$22&lt;=6.4,Information!$F$8="Southeast"),'Lime Rec.'!$J$9,0))))</f>
        <v>0</v>
      </c>
      <c r="K23" s="40">
        <f>IF(AND(Information!$F$15="Oats",Information!$C$23&lt;=5.8,Information!$F$8="West"),'Lime Rec.'!$K$9,IF(AND(Information!$F$15="Oats",Information!$C$23&lt;=5.8,Information!$F$8="Central"),'Lime Rec.'!$K$9,IF(AND(Information!$F$15="Oats",Information!$C$23&lt;=5.8,Information!$F$8="Northeast"),'Lime Rec.'!$K$9,IF(AND(Information!$F$15="Oats",Information!$C$23&lt;=6.4,Information!$F$8="Southeast"),'Lime Rec.'!$K$9,0))))</f>
        <v>0</v>
      </c>
      <c r="M23" s="5" t="s">
        <v>43</v>
      </c>
      <c r="N23" s="40">
        <f>IF(AND(Information!$I$12="Oats",Information!$C$20&lt;=5.8,Information!$F$8="West"),'Lime Rec.'!$N$9,IF(AND(Information!$I$12="Oats",Information!$C$20&lt;=5.8,Information!$F$8="Central"),'Lime Rec.'!$N$9,IF(AND(Information!$I$12="Oats",Information!$C$20&lt;=5.8,Information!$F$8="Northeast"),'Lime Rec.'!$N$9,IF(AND(Information!$I$12="Oats",Information!$C$20&lt;=6.4,Information!$F$8="Southeast"),'Lime Rec.'!$N$9,0))))</f>
        <v>0</v>
      </c>
      <c r="O23" s="40">
        <f>IF(AND(Information!$I$13="Oats",Information!$C$21&lt;=5.8,Information!$F$8="West"),'Lime Rec.'!$O$9,IF(AND(Information!$I$13="Oats",Information!$C$21&lt;=5.8,Information!$F$8="Central"),'Lime Rec.'!$O$9,IF(AND(Information!$I$13="Oats",Information!$C$21&lt;=5.8,Information!$F$8="Northeast"),'Lime Rec.'!$O$9,IF(AND(Information!$I$13="Oats",Information!$C$21&lt;=6.4,Information!$F$8="Southeast"),'Lime Rec.'!$O$9,0))))</f>
        <v>0</v>
      </c>
      <c r="P23" s="40">
        <f>IF(AND(Information!$I$14="Oats",Information!$C$22&lt;=5.8,Information!$F$8="West"),'Lime Rec.'!$P$9,IF(AND(Information!$I$14="Oats",Information!$C$22&lt;=5.8,Information!$F$8="Central"),'Lime Rec.'!$P$9,IF(AND(Information!$I$14="Oats",Information!$C$22&lt;=5.8,Information!$F$8="Northeast"),'Lime Rec.'!$P$9,IF(AND(Information!$I$14="Oats",Information!$C$22&lt;=6.4,Information!$F$8="Southeast"),'Lime Rec.'!$P$9,0))))</f>
        <v>0</v>
      </c>
      <c r="Q23" s="40">
        <f>IF(AND(Information!$I$15="Oats",Information!$C$23&lt;=5.8,Information!$F$8="West"),'Lime Rec.'!$Q$9,IF(AND(Information!$I$15="Oats",Information!$C$23&lt;=5.8,Information!$F$8="Central"),'Lime Rec.'!$Q$9,IF(AND(Information!$I$15="Oats",Information!$C$23&lt;=5.8,Information!$F$8="Northeast"),'Lime Rec.'!$Q$9,IF(AND(Information!$I$15="Oats",Information!$C$23&lt;=6.4,Information!$F$8="Southeast"),'Lime Rec.'!$Q$9,0))))</f>
        <v>0</v>
      </c>
    </row>
    <row r="24" spans="1:17" x14ac:dyDescent="0.2">
      <c r="A24" s="5" t="s">
        <v>56</v>
      </c>
      <c r="B24" s="40">
        <f>IF(AND(Information!$C$12="Brome",Information!$C$20&lt;=5.8,Information!$F$8="West"),'Lime Rec.'!$B$9,IF(AND(Information!$C$12="Brome",Information!$C$20&lt;=5.8,Information!$F$8="Central"),'Lime Rec.'!$B$9,IF(AND(Information!$C$12="Brome",Information!$C$20&lt;=5.8,Information!$F$8="Northeast"),'Lime Rec.'!$B$9,IF(AND(Information!$C$12="Brome",Information!$C$20&lt;=6.4,Information!$F$8="Southeast"),'Lime Rec.'!$B$9,0))))</f>
        <v>0</v>
      </c>
      <c r="C24" s="40">
        <f>IF(AND(Information!$C$13="Brome",Information!$C$21&lt;=5.8,Information!$F$8="West"),'Lime Rec.'!$C$9,IF(AND(Information!$C$13="Brome",Information!$C$21&lt;=5.8,Information!$F$8="Central"),'Lime Rec.'!$C$9,IF(AND(Information!$C$13="Brome",Information!$C$21&lt;=5.8,Information!$F$8="Northeast"),'Lime Rec.'!$C$9,IF(AND(Information!$C$13="Brome",Information!$C$21&lt;=6.4,Information!$F$8="Southeast"),'Lime Rec.'!$C$9,0))))</f>
        <v>0</v>
      </c>
      <c r="D24" s="40">
        <f>IF(AND(Information!$C$14="Brome",Information!$C$22&lt;=5.8,Information!$F$8="West"),'Lime Rec.'!$D$9,IF(AND(Information!$C$14="Brome",Information!$C$22&lt;=5.8,Information!$F$8="Central"),'Lime Rec.'!$D$9,IF(AND(Information!$C$14="Brome",Information!$C$22&lt;=5.8,Information!$F$8="Northeast"),'Lime Rec.'!$D$9,IF(AND(Information!$C$14="Brome",Information!$C$22&lt;=6.4,Information!$F$8="Southeast"),'Lime Rec.'!$D$9,0))))</f>
        <v>0</v>
      </c>
      <c r="E24" s="40">
        <f>IF(AND(Information!$C$15="Brome",Information!$C$23&lt;=5.8,Information!$F$8="West"),'Lime Rec.'!$E$9,IF(AND(Information!$C$15="Brome",Information!$C$23&lt;=5.8,Information!$F$8="Central"),'Lime Rec.'!$E$9,IF(AND(Information!$C$15="Brome",Information!$C$23&lt;=5.8,Information!$F$8="Northeast"),'Lime Rec.'!$E$9,IF(AND(Information!$C$15="Brome",Information!$C$23&lt;=6.4,Information!$F$8="Southeast"),'Lime Rec.'!$E$9,0))))</f>
        <v>0</v>
      </c>
      <c r="G24" s="5" t="s">
        <v>56</v>
      </c>
      <c r="H24" s="40">
        <f>IF(AND(Information!$F$12="Brome",Information!$C$20&lt;=5.8,Information!$F$8="West"),'Lime Rec.'!$H$9,IF(AND(Information!$F$12="Brome",Information!$C$20&lt;=5.8,Information!$F$8="Central"),'Lime Rec.'!$H$9,IF(AND(Information!$F$12="Brome",Information!$C$20&lt;=5.8,Information!$F$8="Northeast"),'Lime Rec.'!$H$9,IF(AND(Information!$F$12="Brome",Information!$C$20&lt;=6.4,Information!$F$8="Southeast"),'Lime Rec.'!$H$9,0))))</f>
        <v>0</v>
      </c>
      <c r="I24" s="40">
        <f>IF(AND(Information!$F$13="Brome",Information!$C$21&lt;=5.8,Information!$F$8="West"),'Lime Rec.'!$I$9,IF(AND(Information!$F$13="Brome",Information!$C$21&lt;=5.8,Information!$F$8="Central"),'Lime Rec.'!$I$9,IF(AND(Information!$F$13="Brome",Information!$C$21&lt;=5.8,Information!$F$8="Northeast"),'Lime Rec.'!$I$9,IF(AND(Information!$F$13="Brome",Information!$C$21&lt;=6.4,Information!$F$8="Southeast"),'Lime Rec.'!$I$9,0))))</f>
        <v>0</v>
      </c>
      <c r="J24" s="40">
        <f>IF(AND(Information!$F$14="Brome",Information!$C$22&lt;=5.8,Information!$F$8="West"),'Lime Rec.'!$J$9,IF(AND(Information!$F$14="Brome",Information!$C$22&lt;=5.8,Information!$F$8="Central"),'Lime Rec.'!$J$9,IF(AND(Information!$F$14="Brome",Information!$C$22&lt;=5.8,Information!$F$8="Northeast"),'Lime Rec.'!$J$9,IF(AND(Information!$F$14="Brome",Information!$C$22&lt;=6.4,Information!$F$8="Southeast"),'Lime Rec.'!$J$9,0))))</f>
        <v>0</v>
      </c>
      <c r="K24" s="40">
        <f>IF(AND(Information!$F$15="Brome",Information!$C$23&lt;=5.8,Information!$F$8="West"),'Lime Rec.'!$K$9,IF(AND(Information!$F$15="Brome",Information!$C$23&lt;=5.8,Information!$F$8="Central"),'Lime Rec.'!$K$9,IF(AND(Information!$F$15="Brome",Information!$C$23&lt;=5.8,Information!$F$8="Northeast"),'Lime Rec.'!$K$9,IF(AND(Information!$F$15="Brome",Information!$C$23&lt;=6.4,Information!$F$8="Southeast"),'Lime Rec.'!$K$9,0))))</f>
        <v>0</v>
      </c>
      <c r="M24" s="5" t="s">
        <v>56</v>
      </c>
      <c r="N24" s="40">
        <f>IF(AND(Information!$I$12="Brome",Information!$C$20&lt;=5.8,Information!$F$8="West"),'Lime Rec.'!$N$9,IF(AND(Information!$I$12="Brome",Information!$C$20&lt;=5.8,Information!$F$8="Central"),'Lime Rec.'!$N$9,IF(AND(Information!$I$12="Brome",Information!$C$20&lt;=5.8,Information!$F$8="Northeast"),'Lime Rec.'!$N$9,IF(AND(Information!$I$12="Brome",Information!$C$20&lt;=6.4,Information!$F$8="Southeast"),'Lime Rec.'!$N$9,0))))</f>
        <v>0</v>
      </c>
      <c r="O24" s="40">
        <f>IF(AND(Information!$I$13="Brome",Information!$C$21&lt;=5.8,Information!$F$8="West"),'Lime Rec.'!$O$9,IF(AND(Information!$I$13="Brome",Information!$C$21&lt;=5.8,Information!$F$8="Central"),'Lime Rec.'!$O$9,IF(AND(Information!$I$13="Brome",Information!$C$21&lt;=5.8,Information!$F$8="Northeast"),'Lime Rec.'!$O$9,IF(AND(Information!$I$13="Brome",Information!$C$21&lt;=6.4,Information!$F$8="Southeast"),'Lime Rec.'!$O$9,0))))</f>
        <v>0</v>
      </c>
      <c r="P24" s="40">
        <f>IF(AND(Information!$I$14="Brome",Information!$C$22&lt;=5.8,Information!$F$8="West"),'Lime Rec.'!$P$9,IF(AND(Information!$I$14="Brome",Information!$C$22&lt;=5.8,Information!$F$8="Central"),'Lime Rec.'!$P$9,IF(AND(Information!$I$14="Brome",Information!$C$22&lt;=5.8,Information!$F$8="Northeast"),'Lime Rec.'!$P$9,IF(AND(Information!$I$14="Brome",Information!$C$22&lt;=6.4,Information!$F$8="Southeast"),'Lime Rec.'!$P$9,0))))</f>
        <v>0</v>
      </c>
      <c r="Q24" s="40">
        <f>IF(AND(Information!$I$15="Brome",Information!$C$23&lt;=5.8,Information!$F$8="West"),'Lime Rec.'!$Q$9,IF(AND(Information!$I$15="Brome",Information!$C$23&lt;=5.8,Information!$F$8="Central"),'Lime Rec.'!$Q$9,IF(AND(Information!$I$15="Brome",Information!$C$23&lt;=5.8,Information!$F$8="Northeast"),'Lime Rec.'!$Q$9,IF(AND(Information!$I$15="Brome",Information!$C$23&lt;=6.4,Information!$F$8="Southeast"),'Lime Rec.'!$Q$9,0))))</f>
        <v>0</v>
      </c>
    </row>
    <row r="25" spans="1:17" x14ac:dyDescent="0.2">
      <c r="A25" s="5" t="s">
        <v>44</v>
      </c>
      <c r="B25" s="40">
        <f>IF(AND(Information!$C$12="Fescue",Information!$C$20&lt;=5.8,Information!$F$8="West"),'Lime Rec.'!$B$9,IF(AND(Information!$C$12="Fescue",Information!$C$20&lt;=5.8,Information!$F$8="Central"),'Lime Rec.'!$B$9,IF(AND(Information!$C$12="Fescue",Information!$C$20&lt;=5.8,Information!$F$8="Northeast"),'Lime Rec.'!$B$9,IF(AND(Information!$C$12="Fescue",Information!$C$20&lt;=6.4,Information!$F$8="Southeast"),'Lime Rec.'!$B$9,0))))</f>
        <v>0</v>
      </c>
      <c r="C25" s="40">
        <f>IF(AND(Information!$C$13="Fescue",Information!$C$21&lt;=5.8,Information!$F$8="West"),'Lime Rec.'!$C$9,IF(AND(Information!$C$13="Fescue",Information!$C$21&lt;=5.8,Information!$F$8="Central"),'Lime Rec.'!$C$9,IF(AND(Information!$C$13="Fescue",Information!$C$21&lt;=5.8,Information!$F$8="Northeast"),'Lime Rec.'!$C$9,IF(AND(Information!$C$13="Fescue",Information!$C$21&lt;=6.4,Information!$F$8="Southeast"),'Lime Rec.'!$C$9,0))))</f>
        <v>0</v>
      </c>
      <c r="D25" s="40">
        <f>IF(AND(Information!$C$14="Fescue",Information!$C$22&lt;=5.8,Information!$F$8="West"),'Lime Rec.'!$D$9,IF(AND(Information!$C$14="Fescue",Information!$C$22&lt;=5.8,Information!$F$8="Central"),'Lime Rec.'!$D$9,IF(AND(Information!$C$14="Fescue",Information!$C$22&lt;=5.8,Information!$F$8="Northeast"),'Lime Rec.'!$D$9,IF(AND(Information!$C$14="Fescue",Information!$C$22&lt;=6.4,Information!$F$8="Southeast"),'Lime Rec.'!$D$9,0))))</f>
        <v>0</v>
      </c>
      <c r="E25" s="40">
        <f>IF(AND(Information!$C$15="Fescue",Information!$C$23&lt;=5.8,Information!$F$8="West"),'Lime Rec.'!$E$9,IF(AND(Information!$C$15="Fescue",Information!$C$23&lt;=5.8,Information!$F$8="Central"),'Lime Rec.'!$E$9,IF(AND(Information!$C$15="Fescue",Information!$C$23&lt;=5.8,Information!$F$8="Northeast"),'Lime Rec.'!$E$9,IF(AND(Information!$C$15="Fescue",Information!$C$23&lt;=6.4,Information!$F$8="Southeast"),'Lime Rec.'!$E$9,0))))</f>
        <v>0</v>
      </c>
      <c r="G25" s="5" t="s">
        <v>44</v>
      </c>
      <c r="H25" s="40">
        <f>IF(AND(Information!$F$12="Fescue",Information!$C$20&lt;=5.8,Information!$F$8="West"),'Lime Rec.'!$H$9,IF(AND(Information!$F$12="Fescue",Information!$C$20&lt;=5.8,Information!$F$8="Central"),'Lime Rec.'!$H$9,IF(AND(Information!$F$12="Fescue",Information!$C$20&lt;=5.8,Information!$F$8="Northeast"),'Lime Rec.'!$H$9,IF(AND(Information!$F$12="Fescue",Information!$C$20&lt;=6.4,Information!$F$8="Southeast"),'Lime Rec.'!$H$9,0))))</f>
        <v>0</v>
      </c>
      <c r="I25" s="40">
        <f>IF(AND(Information!$F$13="Fescue",Information!$C$21&lt;=5.8,Information!$F$8="West"),'Lime Rec.'!$I$9,IF(AND(Information!$F$13="Fescue",Information!$C$21&lt;=5.8,Information!$F$8="Central"),'Lime Rec.'!$I$9,IF(AND(Information!$F$13="Fescue",Information!$C$21&lt;=5.8,Information!$F$8="Northeast"),'Lime Rec.'!$I$9,IF(AND(Information!$F$13="Fescue",Information!$C$21&lt;=6.4,Information!$F$8="Southeast"),'Lime Rec.'!$I$9,0))))</f>
        <v>0</v>
      </c>
      <c r="J25" s="40">
        <f>IF(AND(Information!$F$14="Fescue",Information!$C$22&lt;=5.8,Information!$F$8="West"),'Lime Rec.'!$J$9,IF(AND(Information!$F$14="Fescue",Information!$C$22&lt;=5.8,Information!$F$8="Central"),'Lime Rec.'!$J$9,IF(AND(Information!$F$14="Fescue",Information!$C$22&lt;=5.8,Information!$F$8="Northeast"),'Lime Rec.'!$J$9,IF(AND(Information!$F$14="Fescue",Information!$C$22&lt;=6.4,Information!$F$8="Southeast"),'Lime Rec.'!$J$9,0))))</f>
        <v>0</v>
      </c>
      <c r="K25" s="40">
        <f>IF(AND(Information!$F$15="Fescue",Information!$C$23&lt;=5.8,Information!$F$8="West"),'Lime Rec.'!$K$9,IF(AND(Information!$F$15="Fescue",Information!$C$23&lt;=5.8,Information!$F$8="Central"),'Lime Rec.'!$K$9,IF(AND(Information!$F$15="Fescue",Information!$C$23&lt;=5.8,Information!$F$8="Northeast"),'Lime Rec.'!$K$9,IF(AND(Information!$F$15="Fescue",Information!$C$23&lt;=6.4,Information!$F$8="Southeast"),'Lime Rec.'!$K$9,0))))</f>
        <v>0</v>
      </c>
      <c r="M25" s="5" t="s">
        <v>44</v>
      </c>
      <c r="N25" s="40">
        <f>IF(AND(Information!$I$12="Fescue",Information!$C$20&lt;=5.8,Information!$F$8="West"),'Lime Rec.'!$N$9,IF(AND(Information!$I$12="Fescue",Information!$C$20&lt;=5.8,Information!$F$8="Central"),'Lime Rec.'!$N$9,IF(AND(Information!$I$12="Fescue",Information!$C$20&lt;=5.8,Information!$F$8="Northeast"),'Lime Rec.'!$N$9,IF(AND(Information!$I$12="Fescue",Information!$C$20&lt;=6.4,Information!$F$8="Southeast"),'Lime Rec.'!$N$9,0))))</f>
        <v>0</v>
      </c>
      <c r="O25" s="40">
        <f>IF(AND(Information!$I$13="Fescue",Information!$C$21&lt;=5.8,Information!$F$8="West"),'Lime Rec.'!$O$9,IF(AND(Information!$I$13="Fescue",Information!$C$21&lt;=5.8,Information!$F$8="Central"),'Lime Rec.'!$O$9,IF(AND(Information!$I$13="Fescue",Information!$C$21&lt;=5.8,Information!$F$8="Northeast"),'Lime Rec.'!$O$9,IF(AND(Information!$I$13="Fescue",Information!$C$21&lt;=6.4,Information!$F$8="Southeast"),'Lime Rec.'!$O$9,0))))</f>
        <v>0</v>
      </c>
      <c r="P25" s="40">
        <f>IF(AND(Information!$I$14="Fescue",Information!$C$22&lt;=5.8,Information!$F$8="West"),'Lime Rec.'!$P$9,IF(AND(Information!$I$14="Fescue",Information!$C$22&lt;=5.8,Information!$F$8="Central"),'Lime Rec.'!$P$9,IF(AND(Information!$I$14="Fescue",Information!$C$22&lt;=5.8,Information!$F$8="Northeast"),'Lime Rec.'!$P$9,IF(AND(Information!$I$14="Fescue",Information!$C$22&lt;=6.4,Information!$F$8="Southeast"),'Lime Rec.'!$P$9,0))))</f>
        <v>0</v>
      </c>
      <c r="Q25" s="40">
        <f>IF(AND(Information!$I$15="Fescue",Information!$C$23&lt;=5.8,Information!$F$8="West"),'Lime Rec.'!$Q$9,IF(AND(Information!$I$15="Fescue",Information!$C$23&lt;=5.8,Information!$F$8="Central"),'Lime Rec.'!$Q$9,IF(AND(Information!$I$15="Fescue",Information!$C$23&lt;=5.8,Information!$F$8="Northeast"),'Lime Rec.'!$Q$9,IF(AND(Information!$I$15="Fescue",Information!$C$23&lt;=6.4,Information!$F$8="Southeast"),'Lime Rec.'!$Q$9,0))))</f>
        <v>0</v>
      </c>
    </row>
    <row r="26" spans="1:17" x14ac:dyDescent="0.2">
      <c r="A26" s="5" t="s">
        <v>45</v>
      </c>
      <c r="B26" s="40">
        <f>IF(AND(Information!$C$12="Bermuda",Information!$C$20&lt;=5.8,Information!$F$8="West"),'Lime Rec.'!$B$9,IF(AND(Information!$C$12="Bermuda",Information!$C$20&lt;=5.8,Information!$F$8="Central"),'Lime Rec.'!$B$9,IF(AND(Information!$C$12="Bermuda",Information!$C$20&lt;=5.8,Information!$F$8="Northeast"),'Lime Rec.'!$B$9,IF(AND(Information!$C$12="Bermuda",Information!$C$20&lt;=6.4,Information!$F$8="Southeast"),'Lime Rec.'!$B$9,0))))</f>
        <v>0</v>
      </c>
      <c r="C26" s="40">
        <f>IF(AND(Information!$C$13="Bermuda",Information!$C$21&lt;=5.8,Information!$F$8="West"),'Lime Rec.'!$C$9,IF(AND(Information!$C$13="Bermuda",Information!$C$21&lt;=5.8,Information!$F$8="Central"),'Lime Rec.'!$C$9,IF(AND(Information!$C$13="Bermuda",Information!$C$21&lt;=5.8,Information!$F$8="Northeast"),'Lime Rec.'!$C$9,IF(AND(Information!$C$13="Bermuda",Information!$C$21&lt;=6.4,Information!$F$8="Southeast"),'Lime Rec.'!$C$9,0))))</f>
        <v>0</v>
      </c>
      <c r="D26" s="40">
        <f>IF(AND(Information!$C$14="Bermuda",Information!$C$22&lt;=5.8,Information!$F$8="West"),'Lime Rec.'!$D$9,IF(AND(Information!$C$14="Bermuda",Information!$C$22&lt;=5.8,Information!$F$8="Central"),'Lime Rec.'!$D$9,IF(AND(Information!$C$14="Bermuda",Information!$C$22&lt;=5.8,Information!$F$8="Northeast"),'Lime Rec.'!$D$9,IF(AND(Information!$C$14="Bermuda",Information!$C$22&lt;=6.4,Information!$F$8="Southeast"),'Lime Rec.'!$D$9,0))))</f>
        <v>0</v>
      </c>
      <c r="E26" s="40">
        <f>IF(AND(Information!$C$15="Bermuda",Information!$C$23&lt;=5.8,Information!$F$8="West"),'Lime Rec.'!$E$9,IF(AND(Information!$C$15="Bermuda",Information!$C$23&lt;=5.8,Information!$F$8="Central"),'Lime Rec.'!$E$9,IF(AND(Information!$C$15="Bermuda",Information!$C$23&lt;=5.8,Information!$F$8="Northeast"),'Lime Rec.'!$E$9,IF(AND(Information!$C$15="Bermuda",Information!$C$23&lt;=6.4,Information!$F$8="Southeast"),'Lime Rec.'!$E$9,0))))</f>
        <v>0</v>
      </c>
      <c r="G26" s="5" t="s">
        <v>45</v>
      </c>
      <c r="H26" s="40">
        <f>IF(AND(Information!$F$12="Bermuda",Information!$C$20&lt;=5.8,Information!$F$8="West"),'Lime Rec.'!$H$9,IF(AND(Information!$F$12="Bermuda",Information!$C$20&lt;=5.8,Information!$F$8="Central"),'Lime Rec.'!$H$9,IF(AND(Information!$F$12="Bermuda",Information!$C$20&lt;=5.8,Information!$F$8="Northeast"),'Lime Rec.'!$H$9,IF(AND(Information!$F$12="Bermuda",Information!$C$20&lt;=6.4,Information!$F$8="Southeast"),'Lime Rec.'!$H$9,0))))</f>
        <v>0</v>
      </c>
      <c r="I26" s="40">
        <f>IF(AND(Information!$F$13="Bermuda",Information!$C$21&lt;=5.8,Information!$F$8="West"),'Lime Rec.'!$I$9,IF(AND(Information!$F$13="Bermuda",Information!$C$21&lt;=5.8,Information!$F$8="Central"),'Lime Rec.'!$I$9,IF(AND(Information!$F$13="Bermuda",Information!$C$21&lt;=5.8,Information!$F$8="Northeast"),'Lime Rec.'!$I$9,IF(AND(Information!$F$13="Bermuda",Information!$C$21&lt;=6.4,Information!$F$8="Southeast"),'Lime Rec.'!$I$9,0))))</f>
        <v>0</v>
      </c>
      <c r="J26" s="40">
        <f>IF(AND(Information!$F$14="Bermuda",Information!$C$22&lt;=5.8,Information!$F$8="West"),'Lime Rec.'!$J$9,IF(AND(Information!$F$14="Bermuda",Information!$C$22&lt;=5.8,Information!$F$8="Central"),'Lime Rec.'!$J$9,IF(AND(Information!$F$14="Bermuda",Information!$C$22&lt;=5.8,Information!$F$8="Northeast"),'Lime Rec.'!$J$9,IF(AND(Information!$F$14="Bermuda",Information!$C$22&lt;=6.4,Information!$F$8="Southeast"),'Lime Rec.'!$J$9,0))))</f>
        <v>0</v>
      </c>
      <c r="K26" s="40">
        <f>IF(AND(Information!$F$15="Bermuda",Information!$C$23&lt;=5.8,Information!$F$8="West"),'Lime Rec.'!$K$9,IF(AND(Information!$F$15="Bermuda",Information!$C$23&lt;=5.8,Information!$F$8="Central"),'Lime Rec.'!$K$9,IF(AND(Information!$F$15="Bermuda",Information!$C$23&lt;=5.8,Information!$F$8="Northeast"),'Lime Rec.'!$K$9,IF(AND(Information!$F$15="Bermuda",Information!$C$23&lt;=6.4,Information!$F$8="Southeast"),'Lime Rec.'!$K$9,0))))</f>
        <v>0</v>
      </c>
      <c r="M26" s="5" t="s">
        <v>45</v>
      </c>
      <c r="N26" s="40">
        <f>IF(AND(Information!$I$12="Bermuda",Information!$C$20&lt;=5.8,Information!$F$8="West"),'Lime Rec.'!$N$9,IF(AND(Information!$I$12="Bermuda",Information!$C$20&lt;=5.8,Information!$F$8="Central"),'Lime Rec.'!$N$9,IF(AND(Information!$I$12="Bermuda",Information!$C$20&lt;=5.8,Information!$F$8="Northeast"),'Lime Rec.'!$N$9,IF(AND(Information!$I$12="Bermuda",Information!$C$20&lt;=6.4,Information!$F$8="Southeast"),'Lime Rec.'!$N$9,0))))</f>
        <v>0</v>
      </c>
      <c r="O26" s="40">
        <f>IF(AND(Information!$I$13="Bermuda",Information!$C$21&lt;=5.8,Information!$F$8="West"),'Lime Rec.'!$O$9,IF(AND(Information!$I$13="Bermuda",Information!$C$21&lt;=5.8,Information!$F$8="Central"),'Lime Rec.'!$O$9,IF(AND(Information!$I$13="Bermuda",Information!$C$21&lt;=5.8,Information!$F$8="Northeast"),'Lime Rec.'!$O$9,IF(AND(Information!$I$13="Bermuda",Information!$C$21&lt;=6.4,Information!$F$8="Southeast"),'Lime Rec.'!$O$9,0))))</f>
        <v>0</v>
      </c>
      <c r="P26" s="40">
        <f>IF(AND(Information!$I$14="Bermuda",Information!$C$22&lt;=5.8,Information!$F$8="West"),'Lime Rec.'!$P$9,IF(AND(Information!$I$14="Bermuda",Information!$C$22&lt;=5.8,Information!$F$8="Central"),'Lime Rec.'!$P$9,IF(AND(Information!$I$14="Bermuda",Information!$C$22&lt;=5.8,Information!$F$8="Northeast"),'Lime Rec.'!$P$9,IF(AND(Information!$I$14="Bermuda",Information!$C$22&lt;=6.4,Information!$F$8="Southeast"),'Lime Rec.'!$P$9,0))))</f>
        <v>0</v>
      </c>
      <c r="Q26" s="40">
        <f>IF(AND(Information!$I$15="Bermuda",Information!$C$23&lt;=5.8,Information!$F$8="West"),'Lime Rec.'!$Q$9,IF(AND(Information!$I$15="Bermuda",Information!$C$23&lt;=5.8,Information!$F$8="Central"),'Lime Rec.'!$Q$9,IF(AND(Information!$I$15="Bermuda",Information!$C$23&lt;=5.8,Information!$F$8="Northeast"),'Lime Rec.'!$Q$9,IF(AND(Information!$I$15="Bermuda",Information!$C$23&lt;=6.4,Information!$F$8="Southeast"),'Lime Rec.'!$Q$9,0))))</f>
        <v>0</v>
      </c>
    </row>
    <row r="27" spans="1:17" x14ac:dyDescent="0.2">
      <c r="A27" s="5" t="s">
        <v>278</v>
      </c>
      <c r="B27" s="40">
        <f>IF(AND(Information!$C$12="New Bermuda",Information!$C$20&lt;=5.8,Information!$F$8="West"),'Lime Rec.'!$B$9,IF(AND(Information!$C$12="New Bermuda",Information!$C$20&lt;=5.8,Information!$F$8="Central"),'Lime Rec.'!$B$9,IF(AND(Information!$C$12="New Bermuda",Information!$C$20&lt;=5.8,Information!$F$8="Northeast"),'Lime Rec.'!$B$9,IF(AND(Information!$C$12="New Bermuda",Information!$C$20&lt;=6.4,Information!$F$8="Southeast"),'Lime Rec.'!$B$9,0))))</f>
        <v>0</v>
      </c>
      <c r="C27" s="40">
        <f>IF(AND(Information!$C$13="New Bermuda",Information!$C$21&lt;=5.8,Information!$F$8="West"),'Lime Rec.'!$C$9,IF(AND(Information!$C$13="New Bermuda",Information!$C$21&lt;=5.8,Information!$F$8="Central"),'Lime Rec.'!$C$9,IF(AND(Information!$C$13="New Bermuda",Information!$C$21&lt;=5.8,Information!$F$8="Northeast"),'Lime Rec.'!$C$9,IF(AND(Information!$C$13="New Bermuda",Information!$C$21&lt;=6.4,Information!$F$8="Southeast"),'Lime Rec.'!$C$9,0))))</f>
        <v>0</v>
      </c>
      <c r="D27" s="40">
        <f>IF(AND(Information!$C$14="New Bermuda",Information!$C$22&lt;=5.8,Information!$F$8="West"),'Lime Rec.'!$D$9,IF(AND(Information!$C$14="New Bermuda",Information!$C$22&lt;=5.8,Information!$F$8="Central"),'Lime Rec.'!$D$9,IF(AND(Information!$C$14="New Bermuda",Information!$C$22&lt;=5.8,Information!$F$8="Northeast"),'Lime Rec.'!$D$9,IF(AND(Information!$C$14="New Bermuda",Information!$C$22&lt;=6.4,Information!$F$8="Southeast"),'Lime Rec.'!$D$9,0))))</f>
        <v>0</v>
      </c>
      <c r="E27" s="40">
        <f>IF(AND(Information!$C$15="New Bermuda",Information!$C$23&lt;=5.8,Information!$F$8="West"),'Lime Rec.'!$E$9,IF(AND(Information!$C$15="New Bermuda",Information!$C$23&lt;=5.8,Information!$F$8="Central"),'Lime Rec.'!$E$9,IF(AND(Information!$C$15="New Bermuda",Information!$C$23&lt;=5.8,Information!$F$8="Northeast"),'Lime Rec.'!$E$9,IF(AND(Information!$C$15="New Bermuda",Information!$C$23&lt;=6.4,Information!$F$8="Southeast"),'Lime Rec.'!$E$9,0))))</f>
        <v>0</v>
      </c>
      <c r="G27" s="5" t="s">
        <v>278</v>
      </c>
      <c r="H27" s="40">
        <f>IF(AND(Information!$F$12="New Bermuda",Information!$C$20&lt;=5.8,Information!$F$8="West"),'Lime Rec.'!$H$9,IF(AND(Information!$F$12="New Bermuda",Information!$C$20&lt;=5.8,Information!$F$8="Central"),'Lime Rec.'!$H$9,IF(AND(Information!$F$12="New Bermuda",Information!$C$20&lt;=5.8,Information!$F$8="Northeast"),'Lime Rec.'!$H$9,IF(AND(Information!$F$12="New Bermuda",Information!$C$20&lt;=6.4,Information!$F$8="Southeast"),'Lime Rec.'!$H$9,0))))</f>
        <v>0</v>
      </c>
      <c r="I27" s="40">
        <f>IF(AND(Information!$F$13="New Bermuda",Information!$C$21&lt;=5.8,Information!$F$8="West"),'Lime Rec.'!$I$9,IF(AND(Information!$F$13="New Bermuda",Information!$C$21&lt;=5.8,Information!$F$8="Central"),'Lime Rec.'!$I$9,IF(AND(Information!$F$13="New Bermuda",Information!$C$21&lt;=5.8,Information!$F$8="Northeast"),'Lime Rec.'!$I$9,IF(AND(Information!$F$13="New Bermuda",Information!$C$21&lt;=6.4,Information!$F$8="Southeast"),'Lime Rec.'!$I$9,0))))</f>
        <v>0</v>
      </c>
      <c r="J27" s="40">
        <f>IF(AND(Information!$F$14="New Bermuda",Information!$C$22&lt;=5.8,Information!$F$8="West"),'Lime Rec.'!$J$9,IF(AND(Information!$F$14="New Bermuda",Information!$C$22&lt;=5.8,Information!$F$8="Central"),'Lime Rec.'!$J$9,IF(AND(Information!$F$14="New Bermuda",Information!$C$22&lt;=5.8,Information!$F$8="Northeast"),'Lime Rec.'!$J$9,IF(AND(Information!$F$14="New Bermuda",Information!$C$22&lt;=6.4,Information!$F$8="Southeast"),'Lime Rec.'!$J$9,0))))</f>
        <v>0</v>
      </c>
      <c r="K27" s="40">
        <f>IF(AND(Information!$F$15="New Bermuda",Information!$C$23&lt;=5.8,Information!$F$8="West"),'Lime Rec.'!$K$9,IF(AND(Information!$F$15="New Bermuda",Information!$C$23&lt;=5.8,Information!$F$8="Central"),'Lime Rec.'!$K$9,IF(AND(Information!$F$15="New Bermuda",Information!$C$23&lt;=5.8,Information!$F$8="Northeast"),'Lime Rec.'!$K$9,IF(AND(Information!$F$15="New Bermuda",Information!$C$23&lt;=6.4,Information!$F$8="Southeast"),'Lime Rec.'!$K$9,0))))</f>
        <v>0</v>
      </c>
      <c r="M27" s="5" t="s">
        <v>278</v>
      </c>
      <c r="N27" s="40">
        <f>IF(AND(Information!$I$12="New Bermuda",Information!$C$20&lt;=5.8,Information!$F$8="West"),'Lime Rec.'!$N$9,IF(AND(Information!$I$12="New Bermuda",Information!$C$20&lt;=5.8,Information!$F$8="Central"),'Lime Rec.'!$N$9,IF(AND(Information!$I$12="New Bermuda",Information!$C$20&lt;=5.8,Information!$F$8="Northeast"),'Lime Rec.'!$N$9,IF(AND(Information!$I$12="New Bermuda",Information!$C$20&lt;=6.4,Information!$F$8="Southeast"),'Lime Rec.'!$N$9,0))))</f>
        <v>0</v>
      </c>
      <c r="O27" s="40">
        <f>IF(AND(Information!$I$13="New Bermuda",Information!$C$21&lt;=5.8,Information!$F$8="West"),'Lime Rec.'!$O$9,IF(AND(Information!$I$13="New Bermuda",Information!$C$21&lt;=5.8,Information!$F$8="Central"),'Lime Rec.'!$O$9,IF(AND(Information!$I$13="New Bermuda",Information!$C$21&lt;=5.8,Information!$F$8="Northeast"),'Lime Rec.'!$O$9,IF(AND(Information!$I$13="New Bermuda",Information!$C$21&lt;=6.4,Information!$F$8="Southeast"),'Lime Rec.'!$O$9,0))))</f>
        <v>0</v>
      </c>
      <c r="P27" s="40">
        <f>IF(AND(Information!$I$14="New Bermuda",Information!$C$22&lt;=5.8,Information!$F$8="West"),'Lime Rec.'!$P$9,IF(AND(Information!$I$14="New Bermuda",Information!$C$22&lt;=5.8,Information!$F$8="Central"),'Lime Rec.'!$P$9,IF(AND(Information!$I$14="New Bermuda",Information!$C$22&lt;=5.8,Information!$F$8="Northeast"),'Lime Rec.'!$P$9,IF(AND(Information!$I$14="New Bermuda",Information!$C$22&lt;=6.4,Information!$F$8="Southeast"),'Lime Rec.'!$P$9,0))))</f>
        <v>0</v>
      </c>
      <c r="Q27" s="40">
        <f>IF(AND(Information!$I$15="New Bermuda",Information!$C$23&lt;=5.8,Information!$F$8="West"),'Lime Rec.'!$Q$9,IF(AND(Information!$I$15="New Bermuda",Information!$C$23&lt;=5.8,Information!$F$8="Central"),'Lime Rec.'!$Q$9,IF(AND(Information!$I$15="New Bermuda",Information!$C$23&lt;=5.8,Information!$F$8="Northeast"),'Lime Rec.'!$Q$9,IF(AND(Information!$I$15="New Bermuda",Information!$C$23&lt;=6.4,Information!$F$8="Southeast"),'Lime Rec.'!$Q$9,0))))</f>
        <v>0</v>
      </c>
    </row>
    <row r="28" spans="1:17" x14ac:dyDescent="0.2">
      <c r="A28" s="5" t="s">
        <v>46</v>
      </c>
      <c r="B28" s="40">
        <f>IF(AND(Information!$C$12="New Brome",Information!$C$20&lt;=5.8,Information!$F$8="West"),'Lime Rec.'!$B$9,IF(AND(Information!$C$12="New Brome",Information!$C$20&lt;=5.8,Information!$F$8="Central"),'Lime Rec.'!$B$9,IF(AND(Information!$C$12="New Brome",Information!$C$20&lt;=5.8,Information!$F$8="Northeast"),'Lime Rec.'!$B$9,IF(AND(Information!$C$12="New Brome",Information!$C$20&lt;=6.4,Information!$F$8="Southeast"),'Lime Rec.'!$B$9,0))))</f>
        <v>0</v>
      </c>
      <c r="C28" s="40">
        <f>IF(AND(Information!$C$13="New Brome",Information!$C$21&lt;=5.8,Information!$F$8="West"),'Lime Rec.'!$C$9,IF(AND(Information!$C$13="New Brome",Information!$C$21&lt;=5.8,Information!$F$8="Central"),'Lime Rec.'!$C$9,IF(AND(Information!$C$13="New Brome",Information!$C$21&lt;=5.8,Information!$F$8="Northeast"),'Lime Rec.'!$C$9,IF(AND(Information!$C$13="New Brome",Information!$C$21&lt;=6.4,Information!$F$8="Southeast"),'Lime Rec.'!$C$9,0))))</f>
        <v>0</v>
      </c>
      <c r="D28" s="40">
        <f>IF(AND(Information!$C$14="New Brome",Information!$C$22&lt;=5.8,Information!$F$8="West"),'Lime Rec.'!$D$9,IF(AND(Information!$C$14="New Brome",Information!$C$22&lt;=5.8,Information!$F$8="Central"),'Lime Rec.'!$D$9,IF(AND(Information!$C$14="New Brome",Information!$C$22&lt;=5.8,Information!$F$8="Northeast"),'Lime Rec.'!$D$9,IF(AND(Information!$C$14="New Brome",Information!$C$22&lt;=6.4,Information!$F$8="Southeast"),'Lime Rec.'!$D$9,0))))</f>
        <v>0</v>
      </c>
      <c r="E28" s="40">
        <f>IF(AND(Information!$C$15="New Brome",Information!$C$23&lt;=5.8,Information!$F$8="West"),'Lime Rec.'!$E$9,IF(AND(Information!$C$15="New Brome",Information!$C$23&lt;=5.8,Information!$F$8="Central"),'Lime Rec.'!$E$9,IF(AND(Information!$C$15="New Brome",Information!$C$23&lt;=5.8,Information!$F$8="Northeast"),'Lime Rec.'!$E$9,IF(AND(Information!$C$15="New Brome",Information!$C$23&lt;=6.4,Information!$F$8="Southeast"),'Lime Rec.'!$E$9,0))))</f>
        <v>0</v>
      </c>
      <c r="G28" s="5" t="s">
        <v>46</v>
      </c>
      <c r="H28" s="40">
        <f>IF(AND(Information!$F$12="New Brome",Information!$C$20&lt;=5.8,Information!$F$8="West"),'Lime Rec.'!$H$9,IF(AND(Information!$F$12="New Brome",Information!$C$20&lt;=5.8,Information!$F$8="Central"),'Lime Rec.'!$H$9,IF(AND(Information!$F$12="New Brome",Information!$C$20&lt;=5.8,Information!$F$8="Northeast"),'Lime Rec.'!$H$9,IF(AND(Information!$F$12="New Brome",Information!$C$20&lt;=6.4,Information!$F$8="Southeast"),'Lime Rec.'!$H$9,0))))</f>
        <v>0</v>
      </c>
      <c r="I28" s="40">
        <f>IF(AND(Information!$F$13="New Brome",Information!$C$21&lt;=5.8,Information!$F$8="West"),'Lime Rec.'!$I$9,IF(AND(Information!$F$13="New Brome",Information!$C$21&lt;=5.8,Information!$F$8="Central"),'Lime Rec.'!$I$9,IF(AND(Information!$F$13="New Brome",Information!$C$21&lt;=5.8,Information!$F$8="Northeast"),'Lime Rec.'!$I$9,IF(AND(Information!$F$13="New Brome",Information!$C$21&lt;=6.4,Information!$F$8="Southeast"),'Lime Rec.'!$I$9,0))))</f>
        <v>0</v>
      </c>
      <c r="J28" s="40">
        <f>IF(AND(Information!$F$14="New Brome",Information!$C$22&lt;=5.8,Information!$F$8="West"),'Lime Rec.'!$J$9,IF(AND(Information!$F$14="New Brome",Information!$C$22&lt;=5.8,Information!$F$8="Central"),'Lime Rec.'!$J$9,IF(AND(Information!$F$14="New Brome",Information!$C$22&lt;=5.8,Information!$F$8="Northeast"),'Lime Rec.'!$J$9,IF(AND(Information!$F$14="New Brome",Information!$C$22&lt;=6.4,Information!$F$8="Southeast"),'Lime Rec.'!$J$9,0))))</f>
        <v>0</v>
      </c>
      <c r="K28" s="40">
        <f>IF(AND(Information!$F$15="New Brome",Information!$C$23&lt;=5.8,Information!$F$8="West"),'Lime Rec.'!$K$9,IF(AND(Information!$F$15="New Brome",Information!$C$23&lt;=5.8,Information!$F$8="Central"),'Lime Rec.'!$K$9,IF(AND(Information!$F$15="New Brome",Information!$C$23&lt;=5.8,Information!$F$8="Northeast"),'Lime Rec.'!$K$9,IF(AND(Information!$F$15="New Brome",Information!$C$23&lt;=6.4,Information!$F$8="Southeast"),'Lime Rec.'!$K$9,0))))</f>
        <v>0</v>
      </c>
      <c r="M28" s="5" t="s">
        <v>46</v>
      </c>
      <c r="N28" s="40">
        <f>IF(AND(Information!$I$12="New Brome",Information!$C$20&lt;=5.8,Information!$F$8="West"),'Lime Rec.'!$N$9,IF(AND(Information!$I$12="New Brome",Information!$C$20&lt;=5.8,Information!$F$8="Central"),'Lime Rec.'!$N$9,IF(AND(Information!$I$12="New Brome",Information!$C$20&lt;=5.8,Information!$F$8="Northeast"),'Lime Rec.'!$N$9,IF(AND(Information!$I$12="New Brome",Information!$C$20&lt;=6.4,Information!$F$8="Southeast"),'Lime Rec.'!$N$9,0))))</f>
        <v>0</v>
      </c>
      <c r="O28" s="40">
        <f>IF(AND(Information!$I$13="New Brome",Information!$C$21&lt;=5.8,Information!$F$8="West"),'Lime Rec.'!$O$9,IF(AND(Information!$I$13="New Brome",Information!$C$21&lt;=5.8,Information!$F$8="Central"),'Lime Rec.'!$O$9,IF(AND(Information!$I$13="New Brome",Information!$C$21&lt;=5.8,Information!$F$8="Northeast"),'Lime Rec.'!$O$9,IF(AND(Information!$I$13="New Brome",Information!$C$21&lt;=6.4,Information!$F$8="Southeast"),'Lime Rec.'!$O$9,0))))</f>
        <v>0</v>
      </c>
      <c r="P28" s="40">
        <f>IF(AND(Information!$I$14="New Brome",Information!$C$22&lt;=5.8,Information!$F$8="West"),'Lime Rec.'!$P$9,IF(AND(Information!$I$14="New Brome",Information!$C$22&lt;=5.8,Information!$F$8="Central"),'Lime Rec.'!$P$9,IF(AND(Information!$I$14="New Brome",Information!$C$22&lt;=5.8,Information!$F$8="Northeast"),'Lime Rec.'!$P$9,IF(AND(Information!$I$14="New Brome",Information!$C$22&lt;=6.4,Information!$F$8="Southeast"),'Lime Rec.'!$P$9,0))))</f>
        <v>0</v>
      </c>
      <c r="Q28" s="40">
        <f>IF(AND(Information!$I$15="New Brome",Information!$C$23&lt;=5.8,Information!$F$8="West"),'Lime Rec.'!$Q$9,IF(AND(Information!$I$15="New Brome",Information!$C$23&lt;=5.8,Information!$F$8="Central"),'Lime Rec.'!$Q$9,IF(AND(Information!$I$15="New Brome",Information!$C$23&lt;=5.8,Information!$F$8="Northeast"),'Lime Rec.'!$Q$9,IF(AND(Information!$I$15="New Brome",Information!$C$23&lt;=6.4,Information!$F$8="Southeast"),'Lime Rec.'!$Q$9,0))))</f>
        <v>0</v>
      </c>
    </row>
    <row r="29" spans="1:17" x14ac:dyDescent="0.2">
      <c r="A29" s="5" t="s">
        <v>47</v>
      </c>
      <c r="B29" s="40">
        <f>IF(AND(Information!$C$12="New Fescue",Information!$C$20&lt;=5.8,Information!$F$8="West"),'Lime Rec.'!$B$9,IF(AND(Information!$C$12="New Fescue",Information!$C$20&lt;=5.8,Information!$F$8="Central"),'Lime Rec.'!$B$9,IF(AND(Information!$C$12="New Fescue",Information!$C$20&lt;=5.8,Information!$F$8="Northeast"),'Lime Rec.'!$B$9,IF(AND(Information!$C$12="New Fescue",Information!$C$20&lt;=6.4,Information!$F$8="Southeast"),'Lime Rec.'!$B$9,0))))</f>
        <v>0</v>
      </c>
      <c r="C29" s="40">
        <f>IF(AND(Information!$C$13="New Fescue",Information!$C$21&lt;=5.8,Information!$F$8="West"),'Lime Rec.'!$C$9,IF(AND(Information!$C$13="New Fescue",Information!$C$21&lt;=5.8,Information!$F$8="Central"),'Lime Rec.'!$C$9,IF(AND(Information!$C$13="New Fescue",Information!$C$21&lt;=5.8,Information!$F$8="Northeast"),'Lime Rec.'!$C$9,IF(AND(Information!$C$13="New Fescue",Information!$C$21&lt;=6.4,Information!$F$8="Southeast"),'Lime Rec.'!$C$9,0))))</f>
        <v>0</v>
      </c>
      <c r="D29" s="40">
        <f>IF(AND(Information!$C$14="New Fescue",Information!$C$22&lt;=5.8,Information!$F$8="West"),'Lime Rec.'!$D$9,IF(AND(Information!$C$14="New Fescue",Information!$C$22&lt;=5.8,Information!$F$8="Central"),'Lime Rec.'!$D$9,IF(AND(Information!$C$14="New Fescue",Information!$C$22&lt;=5.8,Information!$F$8="Northeast"),'Lime Rec.'!$D$9,IF(AND(Information!$C$14="New Fescue",Information!$C$22&lt;=6.4,Information!$F$8="Southeast"),'Lime Rec.'!$D$9,0))))</f>
        <v>0</v>
      </c>
      <c r="E29" s="40">
        <f>IF(AND(Information!$C$15="New Fescue",Information!$C$23&lt;=5.8,Information!$F$8="West"),'Lime Rec.'!$E$9,IF(AND(Information!$C$15="New Fescue",Information!$C$23&lt;=5.8,Information!$F$8="Central"),'Lime Rec.'!$E$9,IF(AND(Information!$C$15="New Fescue",Information!$C$23&lt;=5.8,Information!$F$8="Northeast"),'Lime Rec.'!$E$9,IF(AND(Information!$C$15="New Fescue",Information!$C$23&lt;=6.4,Information!$F$8="Southeast"),'Lime Rec.'!$E$9,0))))</f>
        <v>0</v>
      </c>
      <c r="G29" s="5" t="s">
        <v>47</v>
      </c>
      <c r="H29" s="40">
        <f>IF(AND(Information!$F$12="New Fescue",Information!$C$20&lt;=5.8,Information!$F$8="West"),'Lime Rec.'!$H$9,IF(AND(Information!$F$12="New Fescue",Information!$C$20&lt;=5.8,Information!$F$8="Central"),'Lime Rec.'!$H$9,IF(AND(Information!$F$12="New Fescue",Information!$C$20&lt;=5.8,Information!$F$8="Northeast"),'Lime Rec.'!$H$9,IF(AND(Information!$F$12="New Fescue",Information!$C$20&lt;=6.4,Information!$F$8="Southeast"),'Lime Rec.'!$H$9,0))))</f>
        <v>0</v>
      </c>
      <c r="I29" s="40">
        <f>IF(AND(Information!$F$13="New Fescue",Information!$C$21&lt;=5.8,Information!$F$8="West"),'Lime Rec.'!$I$9,IF(AND(Information!$F$13="New Fescue",Information!$C$21&lt;=5.8,Information!$F$8="Central"),'Lime Rec.'!$I$9,IF(AND(Information!$F$13="New Fescue",Information!$C$21&lt;=5.8,Information!$F$8="Northeast"),'Lime Rec.'!$I$9,IF(AND(Information!$F$13="New Fescue",Information!$C$21&lt;=6.4,Information!$F$8="Southeast"),'Lime Rec.'!$I$9,0))))</f>
        <v>0</v>
      </c>
      <c r="J29" s="40">
        <f>IF(AND(Information!$F$14="New Fescue",Information!$C$22&lt;=5.8,Information!$F$8="West"),'Lime Rec.'!$J$9,IF(AND(Information!$F$14="New Fescue",Information!$C$22&lt;=5.8,Information!$F$8="Central"),'Lime Rec.'!$J$9,IF(AND(Information!$F$14="New Fescue",Information!$C$22&lt;=5.8,Information!$F$8="Northeast"),'Lime Rec.'!$J$9,IF(AND(Information!$F$14="New Fescue",Information!$C$22&lt;=6.4,Information!$F$8="Southeast"),'Lime Rec.'!$J$9,0))))</f>
        <v>0</v>
      </c>
      <c r="K29" s="40">
        <f>IF(AND(Information!$F$15="New Fescue",Information!$C$23&lt;=5.8,Information!$F$8="West"),'Lime Rec.'!$K$9,IF(AND(Information!$F$15="New Fescue",Information!$C$23&lt;=5.8,Information!$F$8="Central"),'Lime Rec.'!$K$9,IF(AND(Information!$F$15="New Fescue",Information!$C$23&lt;=5.8,Information!$F$8="Northeast"),'Lime Rec.'!$K$9,IF(AND(Information!$F$15="New Fescue",Information!$C$23&lt;=6.4,Information!$F$8="Southeast"),'Lime Rec.'!$K$9,0))))</f>
        <v>0</v>
      </c>
      <c r="M29" s="5" t="s">
        <v>47</v>
      </c>
      <c r="N29" s="40">
        <f>IF(AND(Information!$I$12="New Fescue",Information!$C$20&lt;=5.8,Information!$F$8="West"),'Lime Rec.'!$N$9,IF(AND(Information!$I$12="New Fescue",Information!$C$20&lt;=5.8,Information!$F$8="Central"),'Lime Rec.'!$N$9,IF(AND(Information!$I$12="New Fescue",Information!$C$20&lt;=5.8,Information!$F$8="Northeast"),'Lime Rec.'!$N$9,IF(AND(Information!$I$12="New Fescue",Information!$C$20&lt;=6.4,Information!$F$8="Southeast"),'Lime Rec.'!$N$9,0))))</f>
        <v>0</v>
      </c>
      <c r="O29" s="40">
        <f>IF(AND(Information!$I$13="New Fescue",Information!$C$21&lt;=5.8,Information!$F$8="West"),'Lime Rec.'!$O$9,IF(AND(Information!$I$13="New Fescue",Information!$C$21&lt;=5.8,Information!$F$8="Central"),'Lime Rec.'!$O$9,IF(AND(Information!$I$13="New Fescue",Information!$C$21&lt;=5.8,Information!$F$8="Northeast"),'Lime Rec.'!$O$9,IF(AND(Information!$I$13="New Fescue",Information!$C$21&lt;=6.4,Information!$F$8="Southeast"),'Lime Rec.'!$O$9,0))))</f>
        <v>0</v>
      </c>
      <c r="P29" s="40">
        <f>IF(AND(Information!$I$14="New Fescue",Information!$C$22&lt;=5.8,Information!$F$8="West"),'Lime Rec.'!$P$9,IF(AND(Information!$I$14="New Fescue",Information!$C$22&lt;=5.8,Information!$F$8="Central"),'Lime Rec.'!$P$9,IF(AND(Information!$I$14="New Fescue",Information!$C$22&lt;=5.8,Information!$F$8="Northeast"),'Lime Rec.'!$P$9,IF(AND(Information!$I$14="New Fescue",Information!$C$22&lt;=6.4,Information!$F$8="Southeast"),'Lime Rec.'!$P$9,0))))</f>
        <v>0</v>
      </c>
      <c r="Q29" s="40">
        <f>IF(AND(Information!$I$15="New Fescue",Information!$C$23&lt;=5.8,Information!$F$8="West"),'Lime Rec.'!$Q$9,IF(AND(Information!$I$15="New Fescue",Information!$C$23&lt;=5.8,Information!$F$8="Central"),'Lime Rec.'!$Q$9,IF(AND(Information!$I$15="New Fescue",Information!$C$23&lt;=5.8,Information!$F$8="Northeast"),'Lime Rec.'!$Q$9,IF(AND(Information!$I$15="New Fescue",Information!$C$23&lt;=6.4,Information!$F$8="Southeast"),'Lime Rec.'!$Q$9,0))))</f>
        <v>0</v>
      </c>
    </row>
    <row r="30" spans="1:17" x14ac:dyDescent="0.2">
      <c r="A30" s="5" t="s">
        <v>279</v>
      </c>
      <c r="B30" s="40">
        <f>IF(AND(Information!$C$12="New Alfalfa/Clover",Information!$C$20&lt;=5.8,Information!$F$8="West"),'Lime Rec.'!$B$9,IF(AND(Information!$C$12="New Alfalfa/Clover",Information!$C$20&lt;=5.8,Information!$F$8="Central"),'Lime Rec.'!$B$9,IF(AND(Information!$C$12="New Alfalfa/Clover",Information!$C$20&lt;=6.4,Information!$F$8="Northeast"),'Lime Rec.'!$B$9,IF(AND(Information!$C$12="New Alfalfa/Clover",Information!$C$20&lt;=6.4,Information!$F$8="Southeast"),'Lime Rec.'!$B$9,0))))</f>
        <v>0</v>
      </c>
      <c r="C30" s="40">
        <f>IF(AND(Information!$C$13="New Alfalfa/Clover",Information!$C$21&lt;=5.8,Information!$F$8="West"),'Lime Rec.'!$C$9,IF(AND(Information!$C$13="New Alfalfa/Clover",Information!$C$21&lt;=5.8,Information!$F$8="Central"),'Lime Rec.'!$C$9,IF(AND(Information!$C$13="New Alfalfa/Clover",Information!$C$21&lt;=6.4,Information!$F$8="Northeast"),'Lime Rec.'!$C$9,IF(AND(Information!$C$13="New Alfalfa/Clover",Information!$C$21&lt;=6.4,Information!$F$8="Southeast"),'Lime Rec.'!$C$9,0))))</f>
        <v>0</v>
      </c>
      <c r="D30" s="40">
        <f>IF(AND(Information!$C$14="New Alfalfa/Clover",Information!$C$22&lt;=5.8,Information!$F$8="West"),'Lime Rec.'!$D$9,IF(AND(Information!$C$14="New Alfalfa/Clover",Information!$C$22&lt;=5.8,Information!$F$8="Central"),'Lime Rec.'!$D$9,IF(AND(Information!$C$14="New Alfalfa/Clover",Information!$C$22&lt;=6.4,Information!$F$8="Northeast"),'Lime Rec.'!$D$9,IF(AND(Information!$C$14="New Alfalfa/Clover",Information!$C$22&lt;=6.4,Information!$F$8="Southeast"),'Lime Rec.'!$D$9,0))))</f>
        <v>0</v>
      </c>
      <c r="E30" s="40">
        <f>IF(AND(Information!$C$15="New Alfalfa/Clover",Information!$C$23&lt;=5.8,Information!$F$8="West"),'Lime Rec.'!$E$9,IF(AND(Information!$C$15="New Alfalfa/Clover",Information!$C$23&lt;=5.8,Information!$F$8="Central"),'Lime Rec.'!$E$9,IF(AND(Information!$C$15="New Alfalfa/Clover",Information!$C$23&lt;=6.4,Information!$F$8="Northeast"),'Lime Rec.'!$E$9,IF(AND(Information!$C$15="New Alfalfa/Clover",Information!$C$23&lt;=6.4,Information!$F$8="Southeast"),'Lime Rec.'!$E$9,0))))</f>
        <v>0</v>
      </c>
      <c r="G30" s="5" t="s">
        <v>279</v>
      </c>
      <c r="H30" s="40">
        <f>IF(AND(Information!$F$12="New Alfalfa/Clover",Information!$C$20&lt;=5.8,Information!$F$8="West"),'Lime Rec.'!$H$9,IF(AND(Information!$F$12="New Alfalfa/Clover",Information!$C$20&lt;=5.8,Information!$F$8="Central"),'Lime Rec.'!$H$9,IF(AND(Information!$F$12="New Alfalfa/Clover",Information!$C$20&lt;=6.4,Information!$F$8="Northeast"),'Lime Rec.'!$H$9,IF(AND(Information!$F$12="New Alfalfa/Clover",Information!$C$20&lt;=6.4,Information!$F$8="Southeast"),'Lime Rec.'!$H$9,0))))</f>
        <v>0</v>
      </c>
      <c r="I30" s="40">
        <f>IF(AND(Information!$F$13="New Alfalfa/Clover",Information!$C$21&lt;=5.8,Information!$F$8="West"),'Lime Rec.'!$I$9,IF(AND(Information!$F$13="New Alfalfa/Clover",Information!$C$21&lt;=5.8,Information!$F$8="Central"),'Lime Rec.'!$I$9,IF(AND(Information!$F$13="New Alfalfa/Clover",Information!$C$21&lt;=6.4,Information!$F$8="Northeast"),'Lime Rec.'!$I$9,IF(AND(Information!$F$13="New Alfalfa/Clover",Information!$C$21&lt;=6.4,Information!$F$8="Southeast"),'Lime Rec.'!$I$9,0))))</f>
        <v>0</v>
      </c>
      <c r="J30" s="40">
        <f>IF(AND(Information!$F$14="New Alfalfa/Clover",Information!$C$22&lt;=5.8,Information!$F$8="West"),'Lime Rec.'!$J$9,IF(AND(Information!$F$14="New Alfalfa/Clover",Information!$C$22&lt;=5.8,Information!$F$8="Central"),'Lime Rec.'!$J$9,IF(AND(Information!$F$14="New Alfalfa/Clover",Information!$C$22&lt;=6.4,Information!$F$8="Northeast"),'Lime Rec.'!$J$9,IF(AND(Information!$F$14="New Alfalfa/Clover",Information!$C$22&lt;=6.4,Information!$F$8="Southeast"),'Lime Rec.'!$J$9,0))))</f>
        <v>0</v>
      </c>
      <c r="K30" s="40">
        <f>IF(AND(Information!$F$15="New Alfalfa/Clover",Information!$C$23&lt;=5.8,Information!$F$8="West"),'Lime Rec.'!$K$9,IF(AND(Information!$F$15="New Alfalfa/Clover",Information!$C$23&lt;=5.8,Information!$F$8="Central"),'Lime Rec.'!$K$9,IF(AND(Information!$F$15="New Alfalfa/Clover",Information!$C$23&lt;=6.4,Information!$F$8="Northeast"),'Lime Rec.'!$K$9,IF(AND(Information!$F$15="New Alfalfa/Clover",Information!$C$23&lt;=6.4,Information!$F$8="Southeast"),'Lime Rec.'!$K$9,0))))</f>
        <v>0</v>
      </c>
      <c r="M30" s="5" t="s">
        <v>279</v>
      </c>
      <c r="N30" s="40">
        <f>IF(AND(Information!$I$12="New Alfalfa/Clover",Information!$C$20&lt;=5.8,Information!$F$8="West"),'Lime Rec.'!$N$9,IF(AND(Information!$I$12="New Alfalfa/Clover",Information!$C$20&lt;=5.8,Information!$F$8="Central"),'Lime Rec.'!$N$9,IF(AND(Information!$I$12="New Alfalfa/Clover",Information!$C$20&lt;=6.4,Information!$F$8="Northeast"),'Lime Rec.'!$N$9,IF(AND(Information!$I$12="New Alfalfa/Clover",Information!$C$20&lt;=6.4,Information!$F$8="Southeast"),'Lime Rec.'!$N$9,0))))</f>
        <v>0</v>
      </c>
      <c r="O30" s="40">
        <f>IF(AND(Information!$I$13="New Alfalfa/Clover",Information!$C$21&lt;=5.8,Information!$F$8="West"),'Lime Rec.'!$O$9,IF(AND(Information!$I$13="New Alfalfa/Clover",Information!$C$21&lt;=5.8,Information!$F$8="Central"),'Lime Rec.'!$O$9,IF(AND(Information!$I$13="New Alfalfa/Clover",Information!$C$21&lt;=6.4,Information!$F$8="Northeast"),'Lime Rec.'!$O$9,IF(AND(Information!$I$13="New Alfalfa/Clover",Information!$C$21&lt;=6.4,Information!$F$8="Southeast"),'Lime Rec.'!$O$9,0))))</f>
        <v>0</v>
      </c>
      <c r="P30" s="40">
        <f>IF(AND(Information!$I$14="New Alfalfa/Clover",Information!$C$22&lt;=5.8,Information!$F$8="West"),'Lime Rec.'!$P$9,IF(AND(Information!$I$14="New Alfalfa/Clover",Information!$C$22&lt;=5.8,Information!$F$8="Central"),'Lime Rec.'!$P$9,IF(AND(Information!$I$14="New Alfalfa/Clover",Information!$C$22&lt;=6.4,Information!$F$8="Northeast"),'Lime Rec.'!$P$9,IF(AND(Information!$I$14="New Alfalfa/Clover",Information!$C$22&lt;=6.4,Information!$F$8="Southeast"),'Lime Rec.'!$P$9,0))))</f>
        <v>0</v>
      </c>
      <c r="Q30" s="40">
        <f>IF(AND(Information!$I$15="New Alfalfa/Clover",Information!$C$23&lt;=5.8,Information!$F$8="West"),'Lime Rec.'!$Q$9,IF(AND(Information!$I$15="New Alfalfa/Clover",Information!$C$23&lt;=5.8,Information!$F$8="Central"),'Lime Rec.'!$Q$9,IF(AND(Information!$I$15="New Alfalfa/Clover",Information!$C$23&lt;=6.4,Information!$F$8="Northeast"),'Lime Rec.'!$Q$9,IF(AND(Information!$I$15="New Alfalfa/Clover",Information!$C$23&lt;=6.4,Information!$F$8="Southeast"),'Lime Rec.'!$Q$9,0))))</f>
        <v>0</v>
      </c>
    </row>
    <row r="31" spans="1:17" x14ac:dyDescent="0.2">
      <c r="A31" s="5" t="s">
        <v>32</v>
      </c>
      <c r="B31" s="40">
        <f>IF(AND(Information!$C$12="Soybeans",Information!$C$20&lt;=5.8,Information!$F$8="West"),'Lime Rec.'!$B$9,IF(AND(Information!$C$12="Soybeans",Information!$C$20&lt;=5.8,Information!$F$8="Central"),'Lime Rec.'!$B$9,IF(AND(Information!$C$12="Soybeans",Information!$C$20&lt;=5.8,Information!$F$8="Northeast"),'Lime Rec.'!$B$9,IF(AND(Information!$C$12="Soybeans",Information!$C$20&lt;=6.4,Information!$F$8="Southeast"),'Lime Rec.'!$B$9,0))))</f>
        <v>0</v>
      </c>
      <c r="C31" s="40">
        <f>IF(AND(Information!$C$13="Soybeans",Information!$C$21&lt;=5.8,Information!$F$8="West"),'Lime Rec.'!$C$9,IF(AND(Information!$C$13="Soybeans",Information!$C$21&lt;=5.8,Information!$F$8="Central"),'Lime Rec.'!$C$9,IF(AND(Information!$C$13="Soybeans",Information!$C$21&lt;=5.8,Information!$F$8="Northeast"),'Lime Rec.'!$C$9,IF(AND(Information!$C$13="Soybeans",Information!$C$21&lt;=6.4,Information!$F$8="Southeast"),'Lime Rec.'!$C$9,0))))</f>
        <v>0</v>
      </c>
      <c r="D31" s="40">
        <f>IF(AND(Information!$C$14="Soybeans",Information!$C$22&lt;=5.8,Information!$F$8="West"),'Lime Rec.'!$D$9,IF(AND(Information!$C$14="Soybeans",Information!$C$22&lt;=5.8,Information!$F$8="Central"),'Lime Rec.'!$D$9,IF(AND(Information!$C$14="Soybeans",Information!$C$22&lt;=5.8,Information!$F$8="Northeast"),'Lime Rec.'!$D$9,IF(AND(Information!$C$14="Soybeans",Information!$C$22&lt;=6.4,Information!$F$8="Southeast"),'Lime Rec.'!$D$9,0))))</f>
        <v>0</v>
      </c>
      <c r="E31" s="40">
        <f>IF(AND(Information!$C$15="Soybeans",Information!$C$23&lt;=5.8,Information!$F$8="West"),'Lime Rec.'!$E$9,IF(AND(Information!$C$15="Soybeans",Information!$C$23&lt;=5.8,Information!$F$8="Central"),'Lime Rec.'!$E$9,IF(AND(Information!$C$15="Soybeans",Information!$C$23&lt;=5.8,Information!$F$8="Northeast"),'Lime Rec.'!$E$9,IF(AND(Information!$C$15="Soybeans",Information!$C$23&lt;=6.4,Information!$F$8="Southeast"),'Lime Rec.'!$E$9,0))))</f>
        <v>0</v>
      </c>
      <c r="G31" s="5" t="s">
        <v>32</v>
      </c>
      <c r="H31" s="40">
        <f>IF(AND(Information!$F$12="Soybeans",Information!$C$20&lt;=5.8,Information!$F$8="West"),'Lime Rec.'!$H$9,IF(AND(Information!$F$12="Soybeans",Information!$C$20&lt;=5.8,Information!$F$8="Central"),'Lime Rec.'!$H$9,IF(AND(Information!$F$12="Soybeans",Information!$C$20&lt;=5.8,Information!$F$8="Northeast"),'Lime Rec.'!$H$9,IF(AND(Information!$F$12="Soybeans",Information!$C$20&lt;=6.4,Information!$F$8="Southeast"),'Lime Rec.'!$H$9,0))))</f>
        <v>0</v>
      </c>
      <c r="I31" s="40">
        <f>IF(AND(Information!$F$13="Soybeans",Information!$C$21&lt;=5.8,Information!$F$8="West"),'Lime Rec.'!$I$9,IF(AND(Information!$F$13="Soybeans",Information!$C$21&lt;=5.8,Information!$F$8="Central"),'Lime Rec.'!$I$9,IF(AND(Information!$F$13="Soybeans",Information!$C$21&lt;=5.8,Information!$F$8="Northeast"),'Lime Rec.'!$I$9,IF(AND(Information!$F$13="Soybeans",Information!$C$21&lt;=6.4,Information!$F$8="Southeast"),'Lime Rec.'!$I$9,0))))</f>
        <v>0</v>
      </c>
      <c r="J31" s="40">
        <f>IF(AND(Information!$F$14="Soybeans",Information!$C$22&lt;=5.8,Information!$F$8="West"),'Lime Rec.'!$J$9,IF(AND(Information!$F$14="Soybeans",Information!$C$22&lt;=5.8,Information!$F$8="Central"),'Lime Rec.'!$J$9,IF(AND(Information!$F$14="Soybeans",Information!$C$22&lt;=5.8,Information!$F$8="Northeast"),'Lime Rec.'!$J$9,IF(AND(Information!$F$14="Soybeans",Information!$C$22&lt;=6.4,Information!$F$8="Southeast"),'Lime Rec.'!$J$9,0))))</f>
        <v>0</v>
      </c>
      <c r="K31" s="40">
        <f>IF(AND(Information!$F$15="Soybeans",Information!$C$23&lt;=5.8,Information!$F$8="West"),'Lime Rec.'!$K$9,IF(AND(Information!$F$15="Soybeans",Information!$C$23&lt;=5.8,Information!$F$8="Central"),'Lime Rec.'!$K$9,IF(AND(Information!$F$15="Soybeans",Information!$C$23&lt;=5.8,Information!$F$8="Northeast"),'Lime Rec.'!$K$9,IF(AND(Information!$F$15="Soybeans",Information!$C$23&lt;=6.4,Information!$F$8="Southeast"),'Lime Rec.'!$K$9,0))))</f>
        <v>0</v>
      </c>
      <c r="M31" s="5" t="s">
        <v>32</v>
      </c>
      <c r="N31" s="40">
        <f>IF(AND(Information!$I$12="Soybeans",Information!$C$20&lt;=5.8,Information!$F$8="West"),'Lime Rec.'!$N$9,IF(AND(Information!$I$12="Soybeans",Information!$C$20&lt;=5.8,Information!$F$8="Central"),'Lime Rec.'!$N$9,IF(AND(Information!$I$12="Soybeans",Information!$C$20&lt;=5.8,Information!$F$8="Northeast"),'Lime Rec.'!$N$9,IF(AND(Information!$I$12="Soybeans",Information!$C$20&lt;=6.4,Information!$F$8="Southeast"),'Lime Rec.'!$N$9,0))))</f>
        <v>0</v>
      </c>
      <c r="O31" s="40">
        <f>IF(AND(Information!$I$13="Soybeans",Information!$C$21&lt;=5.8,Information!$F$8="West"),'Lime Rec.'!$O$9,IF(AND(Information!$I$13="Soybeans",Information!$C$21&lt;=5.8,Information!$F$8="Central"),'Lime Rec.'!$O$9,IF(AND(Information!$I$13="Soybeans",Information!$C$21&lt;=5.8,Information!$F$8="Northeast"),'Lime Rec.'!$O$9,IF(AND(Information!$I$13="Soybeans",Information!$C$21&lt;=6.4,Information!$F$8="Southeast"),'Lime Rec.'!$O$9,0))))</f>
        <v>0</v>
      </c>
      <c r="P31" s="40">
        <f>IF(AND(Information!$I$14="Soybeans",Information!$C$22&lt;=5.8,Information!$F$8="West"),'Lime Rec.'!$P$9,IF(AND(Information!$I$14="Soybeans",Information!$C$22&lt;=5.8,Information!$F$8="Central"),'Lime Rec.'!$P$9,IF(AND(Information!$I$14="Soybeans",Information!$C$22&lt;=5.8,Information!$F$8="Northeast"),'Lime Rec.'!$P$9,IF(AND(Information!$I$14="Soybeans",Information!$C$22&lt;=6.4,Information!$F$8="Southeast"),'Lime Rec.'!$P$9,0))))</f>
        <v>0</v>
      </c>
      <c r="Q31" s="40">
        <f>IF(AND(Information!$I$15="Soybeans",Information!$C$23&lt;=5.8,Information!$F$8="West"),'Lime Rec.'!$Q$9,IF(AND(Information!$I$15="Soybeans",Information!$C$23&lt;=5.8,Information!$F$8="Central"),'Lime Rec.'!$Q$9,IF(AND(Information!$I$15="Soybeans",Information!$C$23&lt;=5.8,Information!$F$8="Northeast"),'Lime Rec.'!$Q$9,IF(AND(Information!$I$15="Soybeans",Information!$C$23&lt;=6.4,Information!$F$8="Southeast"),'Lime Rec.'!$Q$9,0))))</f>
        <v>0</v>
      </c>
    </row>
    <row r="32" spans="1:17" ht="13.5" thickBot="1" x14ac:dyDescent="0.25">
      <c r="A32" s="12" t="s">
        <v>49</v>
      </c>
      <c r="B32" s="41">
        <f>IF(AND(Information!$C$12="Alfalfa",Information!$C$20&lt;=5.8,Information!$F$8="West"),'Lime Rec.'!$B$9,IF(AND(Information!$C$12="Alfalfa",Information!$C$20&lt;=5.8,Information!$F$8="Central"),'Lime Rec.'!$B$9,IF(AND(Information!$C$12="Alfalfa",Information!$C$20&lt;=6.4,Information!$F$8="Northeast"),'Lime Rec.'!$B$9,IF(AND(Information!$C$12="Alfalfa",Information!$C$20&lt;=6.4,Information!$F$8="Southeast"),'Lime Rec.'!$B$9,0))))</f>
        <v>0</v>
      </c>
      <c r="C32" s="41">
        <f>IF(AND(Information!$C$13="Alfalfa",Information!$C$21&lt;=5.8,Information!$F$8="West"),'Lime Rec.'!$C$9,IF(AND(Information!$C$13="Alfalfa",Information!$C$21&lt;=5.8,Information!$F$8="Central"),'Lime Rec.'!$C$9,IF(AND(Information!$C$13="Alfalfa",Information!$C$21&lt;=6.4,Information!$F$8="Northeast"),'Lime Rec.'!$C$9,IF(AND(Information!$C$13="Alfalfa",Information!$C$21&lt;=6.4,Information!$F$8="Southeast"),'Lime Rec.'!$C$9,0))))</f>
        <v>0</v>
      </c>
      <c r="D32" s="41">
        <f>IF(AND(Information!$C$14="Alfalfa",Information!$C$22&lt;=5.8,Information!$F$8="West"),'Lime Rec.'!$D$9,IF(AND(Information!$C$14="Alfalfa",Information!$C$22&lt;=5.8,Information!$F$8="Central"),'Lime Rec.'!$D$9,IF(AND(Information!$C$14="Alfalfa",Information!$C$22&lt;=6.4,Information!$F$8="Northeast"),'Lime Rec.'!$D$9,IF(AND(Information!$C$14="Alfalfa",Information!$C$22&lt;=6.4,Information!$F$8="Southeast"),'Lime Rec.'!$D$9,0))))</f>
        <v>0</v>
      </c>
      <c r="E32" s="41">
        <f>IF(AND(Information!$C$15="Alfalfa",Information!$C$23&lt;=5.8,Information!$F$8="West"),'Lime Rec.'!$E$9,IF(AND(Information!$C$15="Alfalfa",Information!$C$23&lt;=5.8,Information!$F$8="Central"),'Lime Rec.'!$E$9,IF(AND(Information!$C$15="Alfalfa",Information!$C$23&lt;=6.4,Information!$F$8="Northeast"),'Lime Rec.'!$E$9,IF(AND(Information!$C$15="Alfalfa",Information!$C$23&lt;=6.4,Information!$F$8="Southeast"),'Lime Rec.'!$E$9,0))))</f>
        <v>0</v>
      </c>
      <c r="G32" s="12" t="s">
        <v>49</v>
      </c>
      <c r="H32" s="41">
        <f>IF(AND(Information!$F$12="Alfalfa",Information!$C$20&lt;=5.8,Information!$F$8="West"),'Lime Rec.'!$H$9,IF(AND(Information!$F$12="Alfalfa",Information!$C$20&lt;=5.8,Information!$F$8="Central"),'Lime Rec.'!$H$9,IF(AND(Information!$F$12="Alfalfa",Information!$C$20&lt;=6.4,Information!$F$8="Northeast"),'Lime Rec.'!$H$9,IF(AND(Information!$F$12="Alfalfa",Information!$C$20&lt;=6.4,Information!$F$8="Southeast"),'Lime Rec.'!$H$9,0))))</f>
        <v>0</v>
      </c>
      <c r="I32" s="41">
        <f>IF(AND(Information!$F$13="Alfalfa",Information!$C$21&lt;=5.8,Information!$F$8="West"),'Lime Rec.'!$I$9,IF(AND(Information!$F$13="Alfalfa",Information!$C$21&lt;=5.8,Information!$F$8="Central"),'Lime Rec.'!$I$9,IF(AND(Information!$F$13="Alfalfa",Information!$C$21&lt;=6.4,Information!$F$8="Northeast"),'Lime Rec.'!$I$9,IF(AND(Information!$F$13="Alfalfa",Information!$C$21&lt;=6.4,Information!$F$8="Southeast"),'Lime Rec.'!$I$9,0))))</f>
        <v>0</v>
      </c>
      <c r="J32" s="41">
        <f>IF(AND(Information!$F$14="Alfalfa",Information!$C$22&lt;=5.8,Information!$F$8="West"),'Lime Rec.'!$J$9,IF(AND(Information!$F$14="Alfalfa",Information!$C$22&lt;=5.8,Information!$F$8="Central"),'Lime Rec.'!$J$9,IF(AND(Information!$F$14="Alfalfa",Information!$C$22&lt;=6.4,Information!$F$8="Northeast"),'Lime Rec.'!$J$9,IF(AND(Information!$F$14="Alfalfa",Information!$C$22&lt;=6.4,Information!$F$8="Southeast"),'Lime Rec.'!$J$9,0))))</f>
        <v>0</v>
      </c>
      <c r="K32" s="41">
        <f>IF(AND(Information!$F$15="Alfalfa",Information!$C$23&lt;=5.8,Information!$F$8="West"),'Lime Rec.'!$K$9,IF(AND(Information!$F$15="Alfalfa",Information!$C$23&lt;=5.8,Information!$F$8="Central"),'Lime Rec.'!$K$9,IF(AND(Information!$F$15="Alfalfa",Information!$C$23&lt;=6.4,Information!$F$8="Northeast"),'Lime Rec.'!$K$9,IF(AND(Information!$F$15="Alfalfa",Information!$C$23&lt;=6.4,Information!$F$8="Southeast"),'Lime Rec.'!$K$9,0))))</f>
        <v>0</v>
      </c>
      <c r="M32" s="12" t="s">
        <v>49</v>
      </c>
      <c r="N32" s="41">
        <f>IF(AND(Information!$I$12="Alfalfa",Information!$C$20&lt;=5.8,Information!$F$8="West"),'Lime Rec.'!$N$9,IF(AND(Information!$I$12="Alfalfa",Information!$C$20&lt;=5.8,Information!$F$8="Central"),'Lime Rec.'!$N$9,IF(AND(Information!$I$12="Alfalfa",Information!$C$20&lt;=6.4,Information!$F$8="Northeast"),'Lime Rec.'!$N$9,IF(AND(Information!$I$12="Alfalfa",Information!$C$20&lt;=6.4,Information!$F$8="Southeast"),'Lime Rec.'!$N$9,0))))</f>
        <v>0</v>
      </c>
      <c r="O32" s="41">
        <f>IF(AND(Information!$I$13="Alfalfa",Information!$C$21&lt;=5.8,Information!$F$8="West"),'Lime Rec.'!$O$9,IF(AND(Information!$I$13="Alfalfa",Information!$C$21&lt;=5.8,Information!$F$8="Central"),'Lime Rec.'!$O$9,IF(AND(Information!$I$13="Alfalfa",Information!$C$21&lt;=6.4,Information!$F$8="Northeast"),'Lime Rec.'!$O$9,IF(AND(Information!$I$13="Alfalfa",Information!$C$21&lt;=6.4,Information!$F$8="Southeast"),'Lime Rec.'!$O$9,0))))</f>
        <v>0</v>
      </c>
      <c r="P32" s="41">
        <f>IF(AND(Information!$I$14="Alfalfa",Information!$C$22&lt;=5.8,Information!$F$8="West"),'Lime Rec.'!$P$9,IF(AND(Information!$I$14="Alfalfa",Information!$C$22&lt;=5.8,Information!$F$8="Central"),'Lime Rec.'!$P$9,IF(AND(Information!$I$14="Alfalfa",Information!$C$22&lt;=6.4,Information!$F$8="Northeast"),'Lime Rec.'!$P$9,IF(AND(Information!$I$14="Alfalfa",Information!$C$22&lt;=6.4,Information!$F$8="Southeast"),'Lime Rec.'!$P$9,0))))</f>
        <v>0</v>
      </c>
      <c r="Q32" s="41">
        <f>IF(AND(Information!$I$15="Alfalfa",Information!$C$23&lt;=5.8,Information!$F$8="West"),'Lime Rec.'!$Q$9,IF(AND(Information!$I$15="Alfalfa",Information!$C$23&lt;=5.8,Information!$F$8="Central"),'Lime Rec.'!$Q$9,IF(AND(Information!$I$15="Alfalfa",Information!$C$23&lt;=6.4,Information!$F$8="Northeast"),'Lime Rec.'!$Q$9,IF(AND(Information!$I$15="Alfalfa",Information!$C$23&lt;=6.4,Information!$F$8="Southeast"),'Lime Rec.'!$Q$9,0))))</f>
        <v>0</v>
      </c>
    </row>
    <row r="33" spans="2:17" ht="13.5" thickTop="1" x14ac:dyDescent="0.2">
      <c r="B33" s="24">
        <f>SUMIF(B17:B32,"&gt;0",B17:B32)</f>
        <v>0</v>
      </c>
      <c r="C33" s="24">
        <f>SUMIF(C17:C32,"&gt;0",C17:C32)</f>
        <v>0</v>
      </c>
      <c r="D33" s="24">
        <f>SUMIF(D17:D32,"&gt;0",D17:D32)</f>
        <v>0</v>
      </c>
      <c r="E33" s="24">
        <f>SUMIF(E17:E32,"&gt;0",E17:E32)</f>
        <v>0</v>
      </c>
      <c r="H33" s="24">
        <f>SUMIF(H17:H32,"&gt;0",H17:H32)</f>
        <v>0</v>
      </c>
      <c r="I33" s="24">
        <f>SUMIF(I17:I32,"&gt;0",I17:I32)</f>
        <v>0</v>
      </c>
      <c r="J33" s="24">
        <f>SUMIF(J17:J32,"&gt;0",J17:J32)</f>
        <v>0</v>
      </c>
      <c r="K33" s="24">
        <f>SUMIF(K17:K32,"&gt;0",K17:K32)</f>
        <v>0</v>
      </c>
      <c r="N33" s="24">
        <f>SUMIF(N17:N32,"&gt;0",N17:N32)</f>
        <v>0</v>
      </c>
      <c r="O33" s="24">
        <f>SUMIF(O17:O32,"&gt;0",O17:O32)</f>
        <v>0</v>
      </c>
      <c r="P33" s="24">
        <f>SUMIF(P17:P32,"&gt;0",P17:P32)</f>
        <v>0</v>
      </c>
      <c r="Q33" s="24">
        <f>SUMIF(Q17:Q32,"&gt;0",Q17:Q32)</f>
        <v>0</v>
      </c>
    </row>
  </sheetData>
  <sheetProtection algorithmName="SHA-512" hashValue="w4x/k6tcbTdjV9npvDLe6NxS4VzFekSfF3W00M5kClCC/a/aVAD2wZJ8jFH+/MOShVT83SSVmta+UuWOliMomw==" saltValue="c47ThZxdCNfI6OlICTy0AA==" spinCount="100000" sheet="1" objects="1" scenarios="1"/>
  <mergeCells count="3">
    <mergeCell ref="A1:E1"/>
    <mergeCell ref="G1:K1"/>
    <mergeCell ref="M1:Q1"/>
  </mergeCells>
  <phoneticPr fontId="4" type="noConversion"/>
  <dataValidations count="1">
    <dataValidation allowBlank="1" showErrorMessage="1" sqref="B4:E4 H4:K4 N4:Q4" xr:uid="{00000000-0002-0000-0700-000000000000}"/>
  </dataValidation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T121"/>
  <sheetViews>
    <sheetView topLeftCell="A91" workbookViewId="0">
      <selection activeCell="H124" sqref="H124"/>
    </sheetView>
  </sheetViews>
  <sheetFormatPr defaultRowHeight="12.75" x14ac:dyDescent="0.2"/>
  <cols>
    <col min="1" max="1" width="29.5703125" customWidth="1"/>
    <col min="2" max="2" width="28.28515625" customWidth="1"/>
    <col min="3" max="6" width="14.28515625" customWidth="1"/>
    <col min="8" max="9" width="28.28515625" customWidth="1"/>
    <col min="10" max="13" width="14.28515625" customWidth="1"/>
    <col min="15" max="15" width="30" customWidth="1"/>
    <col min="16" max="16" width="28.28515625" customWidth="1"/>
    <col min="17" max="20" width="14.28515625" customWidth="1"/>
  </cols>
  <sheetData>
    <row r="1" spans="1:20" ht="18.75" thickBot="1" x14ac:dyDescent="0.3">
      <c r="A1" s="244" t="s">
        <v>60</v>
      </c>
      <c r="B1" s="244"/>
      <c r="C1" s="244"/>
      <c r="D1" s="244"/>
      <c r="E1" s="244"/>
      <c r="F1" s="244"/>
      <c r="H1" s="244" t="s">
        <v>69</v>
      </c>
      <c r="I1" s="244"/>
      <c r="J1" s="244"/>
      <c r="K1" s="244"/>
      <c r="L1" s="244"/>
      <c r="M1" s="244"/>
      <c r="O1" s="244" t="s">
        <v>70</v>
      </c>
      <c r="P1" s="244"/>
      <c r="Q1" s="244"/>
      <c r="R1" s="244"/>
      <c r="S1" s="244"/>
      <c r="T1" s="244"/>
    </row>
    <row r="2" spans="1:20" s="3" customFormat="1" ht="14.25" thickTop="1" thickBot="1" x14ac:dyDescent="0.25">
      <c r="A2" s="8" t="s">
        <v>33</v>
      </c>
      <c r="B2" s="9" t="s">
        <v>34</v>
      </c>
      <c r="C2" s="9" t="s">
        <v>35</v>
      </c>
      <c r="D2" s="9" t="s">
        <v>36</v>
      </c>
      <c r="E2" s="9" t="s">
        <v>37</v>
      </c>
      <c r="F2" s="18"/>
      <c r="H2" s="8" t="s">
        <v>33</v>
      </c>
      <c r="I2" s="9" t="s">
        <v>34</v>
      </c>
      <c r="J2" s="9" t="s">
        <v>35</v>
      </c>
      <c r="K2" s="9" t="s">
        <v>36</v>
      </c>
      <c r="L2" s="9" t="s">
        <v>37</v>
      </c>
      <c r="M2" s="18"/>
      <c r="O2" s="8" t="s">
        <v>33</v>
      </c>
      <c r="P2" s="9" t="s">
        <v>34</v>
      </c>
      <c r="Q2" s="9" t="s">
        <v>35</v>
      </c>
      <c r="R2" s="9" t="s">
        <v>36</v>
      </c>
      <c r="S2" s="9" t="s">
        <v>37</v>
      </c>
      <c r="T2" s="18"/>
    </row>
    <row r="3" spans="1:20" x14ac:dyDescent="0.2">
      <c r="F3" s="3"/>
      <c r="G3" s="5"/>
      <c r="M3" s="3"/>
      <c r="N3" s="5"/>
      <c r="T3" s="3"/>
    </row>
    <row r="4" spans="1:20" x14ac:dyDescent="0.2">
      <c r="A4" s="5" t="s">
        <v>30</v>
      </c>
      <c r="B4" s="23">
        <f>IF(Information!$C$12="Corn",1.6*Information!$E$12,0)</f>
        <v>0</v>
      </c>
      <c r="C4" s="10">
        <f>IF(Information!$C$13="Corn",(1.6*Information!$E$13),0)</f>
        <v>0</v>
      </c>
      <c r="D4" s="10">
        <f>IF(Information!$C$14="Corn",(1.6*Information!$E$14),0)</f>
        <v>0</v>
      </c>
      <c r="E4" s="10">
        <f>IF(Information!$C$15="Corn",(1.6*Information!$E$15),0)</f>
        <v>0</v>
      </c>
      <c r="F4" s="20"/>
      <c r="H4" s="5" t="s">
        <v>30</v>
      </c>
      <c r="I4" s="23">
        <f>IF(Information!$F$12="Corn",1.6*Information!$H$12,0)</f>
        <v>0</v>
      </c>
      <c r="J4" s="10">
        <f>IF(Information!$F$13="Corn",(1.6*Information!$H$13),0)</f>
        <v>0</v>
      </c>
      <c r="K4" s="10">
        <f>IF(Information!$F$14="Corn",(1.6*Information!$H$14),0)</f>
        <v>0</v>
      </c>
      <c r="L4" s="10">
        <f>IF(Information!$F$15="Corn",(1.6*Information!$H$15),0)</f>
        <v>0</v>
      </c>
      <c r="M4" s="20"/>
      <c r="O4" s="5" t="s">
        <v>30</v>
      </c>
      <c r="P4" s="23">
        <f>IF(Information!$I$12="Corn",1.6*Information!$K$12,0)</f>
        <v>0</v>
      </c>
      <c r="Q4" s="10">
        <f>IF(Information!$I$13="Corn",(1.6*Information!$K$13),0)</f>
        <v>0</v>
      </c>
      <c r="R4" s="10">
        <f>IF(Information!$I$14="Corn",(1.6*Information!$K$14),0)</f>
        <v>0</v>
      </c>
      <c r="S4" s="10">
        <f>IF(Information!$I$15="Corn",(1.6*Information!$K$15),0)</f>
        <v>0</v>
      </c>
      <c r="T4" s="20"/>
    </row>
    <row r="5" spans="1:20" x14ac:dyDescent="0.2">
      <c r="A5" s="5" t="s">
        <v>38</v>
      </c>
      <c r="B5" s="23">
        <f>IF(Information!$C$12="Wheat",(2.4*Information!$E$12),0)</f>
        <v>0</v>
      </c>
      <c r="C5" s="10">
        <f>IF(Information!$C$13="Wheat",(2.4*Information!$E$13),0)</f>
        <v>0</v>
      </c>
      <c r="D5" s="10">
        <f>IF(Information!$C$14="Wheat",(2.4*Information!$E$14),0)</f>
        <v>0</v>
      </c>
      <c r="E5" s="10">
        <f>IF(Information!$C$15="Wheat",(2.4*Information!$E$15),0)</f>
        <v>0</v>
      </c>
      <c r="F5" s="20"/>
      <c r="H5" s="5" t="s">
        <v>38</v>
      </c>
      <c r="I5" s="23">
        <f>IF(Information!$F$12="Wheat",(2.4*Information!$H$12),0)</f>
        <v>0</v>
      </c>
      <c r="J5" s="10">
        <f>IF(Information!$F$13="Wheat",(2.4*Information!$H$13),0)</f>
        <v>0</v>
      </c>
      <c r="K5" s="10">
        <f>IF(Information!$F$14="Wheat",(2.4*Information!$H$14),0)</f>
        <v>0</v>
      </c>
      <c r="L5" s="10">
        <f>IF(Information!$F$15="Wheat",(2.4*Information!$H$15),0)</f>
        <v>0</v>
      </c>
      <c r="M5" s="20"/>
      <c r="O5" s="5" t="s">
        <v>38</v>
      </c>
      <c r="P5" s="23">
        <f>IF(Information!$I$12="Wheat",(2.4*Information!$K$12),0)</f>
        <v>0</v>
      </c>
      <c r="Q5" s="10">
        <f>IF(Information!$I$13="Wheat",(2.4*Information!$K$13),0)</f>
        <v>0</v>
      </c>
      <c r="R5" s="10">
        <f>IF(Information!$I$14="Wheat",(2.4*Information!$K$14),0)</f>
        <v>0</v>
      </c>
      <c r="S5" s="10">
        <f>IF(Information!$I$15="Wheat",(2.4*Information!$K$15),0)</f>
        <v>0</v>
      </c>
      <c r="T5" s="20"/>
    </row>
    <row r="6" spans="1:20" x14ac:dyDescent="0.2">
      <c r="A6" s="5" t="s">
        <v>39</v>
      </c>
      <c r="B6" s="23">
        <f>IF(Information!$C$12="Grain Sorghum",(1.6*Information!$E$12),0)</f>
        <v>0</v>
      </c>
      <c r="C6" s="10">
        <f>IF(Information!$C$13="Grain Sorghum",(1.6*Information!$E$13),0)</f>
        <v>0</v>
      </c>
      <c r="D6" s="10">
        <f>IF(Information!$C$14="Grain Sorghum",(1.6*Information!$E$14),0)</f>
        <v>0</v>
      </c>
      <c r="E6" s="10">
        <f>IF(Information!$C$15="Grain Sorghum",(1.6*Information!$E$15),0)</f>
        <v>0</v>
      </c>
      <c r="F6" s="20"/>
      <c r="H6" s="5" t="s">
        <v>39</v>
      </c>
      <c r="I6" s="23">
        <f>IF(Information!$F$12="Grain Sorghum",(1.6*Information!$H$12),0)</f>
        <v>0</v>
      </c>
      <c r="J6" s="10">
        <f>IF(Information!$F$13="Grain Sorghum",(1.6*Information!$H$13),0)</f>
        <v>0</v>
      </c>
      <c r="K6" s="10">
        <f>IF(Information!$F$14="Grain Sorghum",(1.6*Information!$H$14),0)</f>
        <v>0</v>
      </c>
      <c r="L6" s="10">
        <f>IF(Information!$F$15="Grain Sorghum",(1.6*Information!$H$15),0)</f>
        <v>0</v>
      </c>
      <c r="M6" s="20"/>
      <c r="O6" s="5" t="s">
        <v>39</v>
      </c>
      <c r="P6" s="23">
        <f>IF(Information!$I$12="Grain Sorghum",(1.6*Information!$K$12),0)</f>
        <v>0</v>
      </c>
      <c r="Q6" s="10">
        <f>IF(Information!$I$13="Grain Sorghum",(1.6*Information!$K$13),0)</f>
        <v>0</v>
      </c>
      <c r="R6" s="10">
        <f>IF(Information!$I$14="Grain Sorghum",(1.6*Information!$K$14),0)</f>
        <v>0</v>
      </c>
      <c r="S6" s="10">
        <f>IF(Information!$I$15="Grain Sorghum",(1.6*Information!$K$15),0)</f>
        <v>0</v>
      </c>
      <c r="T6" s="20"/>
    </row>
    <row r="7" spans="1:20" x14ac:dyDescent="0.2">
      <c r="A7" s="5" t="s">
        <v>40</v>
      </c>
      <c r="B7" s="23">
        <f>IF(Information!$C$12="Silage-Corn",(10.67*Information!$E$12),0)</f>
        <v>0</v>
      </c>
      <c r="C7" s="10">
        <f>IF(Information!$C$13="Silage-Corn",(10.67*Information!$E$13),0)</f>
        <v>0</v>
      </c>
      <c r="D7" s="10">
        <f>IF(Information!$C$14="Silage-Corn",(10.67*Information!$E$14),0)</f>
        <v>0</v>
      </c>
      <c r="E7" s="10">
        <f>IF(Information!$C$15="Silage-Corn",(10.67*Information!$E$15),0)</f>
        <v>0</v>
      </c>
      <c r="F7" s="20"/>
      <c r="H7" s="5" t="s">
        <v>40</v>
      </c>
      <c r="I7" s="23">
        <f>IF(Information!$F$12="Silage-Corn",(10.67*Information!$H$12),0)</f>
        <v>0</v>
      </c>
      <c r="J7" s="10">
        <f>IF(Information!$F$13="Silage-Corn",(10.67*Information!$H$13),0)</f>
        <v>0</v>
      </c>
      <c r="K7" s="10">
        <f>IF(Information!$F$14="Silage-Corn",(10.67*Information!$H$14),0)</f>
        <v>0</v>
      </c>
      <c r="L7" s="10">
        <f>IF(Information!$F$15="Silage-Corn",(10.67*Information!$H$15),0)</f>
        <v>0</v>
      </c>
      <c r="M7" s="20"/>
      <c r="O7" s="5" t="s">
        <v>40</v>
      </c>
      <c r="P7" s="23">
        <f>IF(Information!$I$12="Silage-Corn",(10.67*Information!$K$12),0)</f>
        <v>0</v>
      </c>
      <c r="Q7" s="10">
        <f>IF(Information!$I$13="Silage-Corn",(10.67*Information!$K$13),0)</f>
        <v>0</v>
      </c>
      <c r="R7" s="10">
        <f>IF(Information!$I$14="Silage-Corn",(10.67*Information!$K$14),0)</f>
        <v>0</v>
      </c>
      <c r="S7" s="10">
        <f>IF(Information!$I$15="Silage-Corn",(10.67*Information!$K$15),0)</f>
        <v>0</v>
      </c>
      <c r="T7" s="20"/>
    </row>
    <row r="8" spans="1:20" x14ac:dyDescent="0.2">
      <c r="A8" s="5" t="s">
        <v>41</v>
      </c>
      <c r="B8" s="23">
        <f>IF(Information!$C$12="Silage-Sorghum",(10.67*Information!$E$12),0)</f>
        <v>0</v>
      </c>
      <c r="C8" s="10">
        <f>IF(Information!$C$13="Silage-Sorghum",(10.67*Information!$E$13),0)</f>
        <v>0</v>
      </c>
      <c r="D8" s="10">
        <f>IF(Information!$C$14="Silage-Sorghum",(10.67*Information!$E$14),0)</f>
        <v>0</v>
      </c>
      <c r="E8" s="10">
        <f>IF(Information!$C$15="Silage-Sorghum",(10.67*Information!$E$15),0)</f>
        <v>0</v>
      </c>
      <c r="F8" s="20"/>
      <c r="H8" s="5" t="s">
        <v>41</v>
      </c>
      <c r="I8" s="23">
        <f>IF(Information!$F$12="Silage-Sorghum",(10.67*Information!$H$12),0)</f>
        <v>0</v>
      </c>
      <c r="J8" s="10">
        <f>IF(Information!$F$13="Silage-Sorghum",(10.67*Information!$H$13),0)</f>
        <v>0</v>
      </c>
      <c r="K8" s="10">
        <f>IF(Information!$F$14="Silage-Sorghum",(10.67*Information!$H$14),0)</f>
        <v>0</v>
      </c>
      <c r="L8" s="10">
        <f>IF(Information!$F$15="Silage-Sorghum",(10.67*Information!$H$15),0)</f>
        <v>0</v>
      </c>
      <c r="M8" s="20"/>
      <c r="O8" s="5" t="s">
        <v>41</v>
      </c>
      <c r="P8" s="23">
        <f>IF(Information!$I$12="Silage-Sorghum",(10.67*Information!$K$12),0)</f>
        <v>0</v>
      </c>
      <c r="Q8" s="10">
        <f>IF(Information!$I$13="Silage-Sorghum",(10.67*Information!$K$13),0)</f>
        <v>0</v>
      </c>
      <c r="R8" s="10">
        <f>IF(Information!$I$14="Silage-Sorghum",(10.67*Information!$K$14),0)</f>
        <v>0</v>
      </c>
      <c r="S8" s="10">
        <f>IF(Information!$I$15="Silage-Sorghum",(10.67*Information!$K$15),0)</f>
        <v>0</v>
      </c>
      <c r="T8" s="20"/>
    </row>
    <row r="9" spans="1:20" x14ac:dyDescent="0.2">
      <c r="A9" s="5" t="s">
        <v>42</v>
      </c>
      <c r="B9" s="23">
        <f>IF(Information!$C$12="Sunflower",(0.075*Information!$E$12),0)</f>
        <v>0</v>
      </c>
      <c r="C9" s="10">
        <f>IF(Information!$C$13="Sunflower",(0.075*Information!$E$13),0)</f>
        <v>0</v>
      </c>
      <c r="D9" s="10">
        <f>IF(Information!$C$14="Sunflower",(0.075*Information!$E$14),0)</f>
        <v>0</v>
      </c>
      <c r="E9" s="10">
        <f>IF(Information!$C$15="Sunflower",(0.075*Information!$E$15),0)</f>
        <v>0</v>
      </c>
      <c r="F9" s="20"/>
      <c r="H9" s="5" t="s">
        <v>42</v>
      </c>
      <c r="I9" s="23">
        <f>IF(Information!$F$12="Sunflower",(0.075*Information!$H$12),0)</f>
        <v>0</v>
      </c>
      <c r="J9" s="10">
        <f>IF(Information!$F$13="Sunflower",(0.075*Information!$H$13),0)</f>
        <v>0</v>
      </c>
      <c r="K9" s="10">
        <f>IF(Information!$F$14="Sunflower",(0.075*Information!$H$14),0)</f>
        <v>0</v>
      </c>
      <c r="L9" s="10">
        <f>IF(Information!$F$15="Sunflower",(0.075*Information!$H$15),0)</f>
        <v>0</v>
      </c>
      <c r="M9" s="20"/>
      <c r="O9" s="5" t="s">
        <v>42</v>
      </c>
      <c r="P9" s="23">
        <f>IF(Information!$I$12="Sunflower",(0.075*Information!$K$12),0)</f>
        <v>0</v>
      </c>
      <c r="Q9" s="10">
        <f>IF(Information!$I$13="Sunflower",(0.075*Information!$K$13),0)</f>
        <v>0</v>
      </c>
      <c r="R9" s="10">
        <f>IF(Information!$I$14="Sunflower",(0.075*Information!$K$14),0)</f>
        <v>0</v>
      </c>
      <c r="S9" s="10">
        <f>IF(Information!$I$15="Sunflower",(0.075*Information!$K$15),0)</f>
        <v>0</v>
      </c>
      <c r="T9" s="20"/>
    </row>
    <row r="10" spans="1:20" x14ac:dyDescent="0.2">
      <c r="A10" s="5" t="s">
        <v>43</v>
      </c>
      <c r="B10" s="23">
        <f>IF(Information!$C$12="Oats",(1.3*Information!$E$12),0)</f>
        <v>0</v>
      </c>
      <c r="C10" s="10">
        <f>IF(Information!$C$13="Oats",(1.3*Information!$E$13),0)</f>
        <v>0</v>
      </c>
      <c r="D10" s="10">
        <f>IF(Information!$C$14="Oats",(1.3*Information!$E$14),0)</f>
        <v>0</v>
      </c>
      <c r="E10" s="10">
        <f>IF(Information!$C$15="Oats",(1.3*Information!$E$15),0)</f>
        <v>0</v>
      </c>
      <c r="F10" s="20"/>
      <c r="G10" s="5"/>
      <c r="H10" s="5" t="s">
        <v>43</v>
      </c>
      <c r="I10" s="23">
        <f>IF(Information!$F$12="Oats",(1.3*Information!$H$12),0)</f>
        <v>0</v>
      </c>
      <c r="J10" s="10">
        <f>IF(Information!$F$13="Oats",(1.3*Information!$H$13),0)</f>
        <v>0</v>
      </c>
      <c r="K10" s="10">
        <f>IF(Information!$F$14="Oats",(1.3*Information!$H$14),0)</f>
        <v>0</v>
      </c>
      <c r="L10" s="10">
        <f>IF(Information!$F$15="Oats",(1.3*Information!$H$15),0)</f>
        <v>0</v>
      </c>
      <c r="M10" s="20"/>
      <c r="N10" s="5"/>
      <c r="O10" s="5" t="s">
        <v>43</v>
      </c>
      <c r="P10" s="23">
        <f>IF(Information!$I$12="Oats",(1.3*Information!$K$12),0)</f>
        <v>0</v>
      </c>
      <c r="Q10" s="10">
        <f>IF(Information!$I$13="Oats",(1.3*Information!$K$13),0)</f>
        <v>0</v>
      </c>
      <c r="R10" s="10">
        <f>IF(Information!$I$14="Oats",(1.3*Information!$K$14),0)</f>
        <v>0</v>
      </c>
      <c r="S10" s="10">
        <f>IF(Information!$I$15="Oats",(1.3*Information!$K$15),0)</f>
        <v>0</v>
      </c>
      <c r="T10" s="20"/>
    </row>
    <row r="11" spans="1:20" x14ac:dyDescent="0.2">
      <c r="A11" s="5" t="s">
        <v>56</v>
      </c>
      <c r="B11" s="23">
        <f>IF(Information!$C$12="Brome",(40*Information!$E$12),0)</f>
        <v>0</v>
      </c>
      <c r="C11" s="10">
        <f>IF(Information!$C$13="Brome",(40*Information!$E$13),0)</f>
        <v>0</v>
      </c>
      <c r="D11" s="10">
        <f>IF(Information!$C$14="Brome",(40*Information!$E$14),0)</f>
        <v>0</v>
      </c>
      <c r="E11" s="10">
        <f>IF(Information!$C$15="Brome",(40*Information!$E$15),0)</f>
        <v>0</v>
      </c>
      <c r="F11" s="20"/>
      <c r="H11" s="5" t="s">
        <v>56</v>
      </c>
      <c r="I11" s="23">
        <f>IF(Information!$F$12="Brome",(40*Information!$H$12),0)</f>
        <v>0</v>
      </c>
      <c r="J11" s="10">
        <f>IF(Information!$F$13="Brome",(40*Information!$H$13),0)</f>
        <v>0</v>
      </c>
      <c r="K11" s="10">
        <f>IF(Information!$F$14="Brome",(40*Information!$H$14),0)</f>
        <v>0</v>
      </c>
      <c r="L11" s="10">
        <f>IF(Information!$F$15="Brome",(40*Information!$H$15),0)</f>
        <v>0</v>
      </c>
      <c r="M11" s="20"/>
      <c r="O11" s="5" t="s">
        <v>56</v>
      </c>
      <c r="P11" s="23">
        <f>IF(Information!$I$12="Brome",(40*Information!$K$12),0)</f>
        <v>0</v>
      </c>
      <c r="Q11" s="10">
        <f>IF(Information!$I$13="Brome",(40*Information!$K$13),0)</f>
        <v>0</v>
      </c>
      <c r="R11" s="10">
        <f>IF(Information!$I$14="Brome",(40*Information!$K$14),0)</f>
        <v>0</v>
      </c>
      <c r="S11" s="10">
        <f>IF(Information!$I$15="Brome",(40*Information!$K$15),0)</f>
        <v>0</v>
      </c>
      <c r="T11" s="20"/>
    </row>
    <row r="12" spans="1:20" x14ac:dyDescent="0.2">
      <c r="A12" s="5" t="s">
        <v>44</v>
      </c>
      <c r="B12" s="23">
        <f>IF(Information!$C$12="Fescue",(40*Information!$E$12),0)</f>
        <v>0</v>
      </c>
      <c r="C12" s="10">
        <f>IF(Information!$C$13="Fescue",(40*Information!$E$13),0)</f>
        <v>0</v>
      </c>
      <c r="D12" s="10">
        <f>IF(Information!$C$14="Fescue",(40*Information!$E$14),0)</f>
        <v>0</v>
      </c>
      <c r="E12" s="10">
        <f>IF(Information!$C$15="Fescue",(40*Information!$E$15),0)</f>
        <v>0</v>
      </c>
      <c r="F12" s="20"/>
      <c r="H12" s="5" t="s">
        <v>44</v>
      </c>
      <c r="I12" s="23">
        <f>IF(Information!$F$12="Fescue",(40*Information!$H$12),0)</f>
        <v>0</v>
      </c>
      <c r="J12" s="10">
        <f>IF(Information!$F$13="Fescue",(40*Information!$H$13),0)</f>
        <v>0</v>
      </c>
      <c r="K12" s="10">
        <f>IF(Information!$F$14="Fescue",(40*Information!$H$14),0)</f>
        <v>0</v>
      </c>
      <c r="L12" s="10">
        <f>IF(Information!$F$15="Fescue",(40*Information!$H$15),0)</f>
        <v>0</v>
      </c>
      <c r="M12" s="20"/>
      <c r="O12" s="5" t="s">
        <v>44</v>
      </c>
      <c r="P12" s="23">
        <f>IF(Information!$I$12="Fescue",(40*Information!$K$12),0)</f>
        <v>0</v>
      </c>
      <c r="Q12" s="10">
        <f>IF(Information!$I$13="Fescue",(40*Information!$K$13),0)</f>
        <v>0</v>
      </c>
      <c r="R12" s="10">
        <f>IF(Information!$I$14="Fescue",(40*Information!$K$14),0)</f>
        <v>0</v>
      </c>
      <c r="S12" s="10">
        <f>IF(Information!$I$15="Fescue",(40*Information!$K$15),0)</f>
        <v>0</v>
      </c>
      <c r="T12" s="20"/>
    </row>
    <row r="13" spans="1:20" x14ac:dyDescent="0.2">
      <c r="A13" s="5" t="s">
        <v>45</v>
      </c>
      <c r="B13" s="23">
        <f>IF(Information!$C$12="Bermuda",(40*Information!$E$12),0)</f>
        <v>0</v>
      </c>
      <c r="C13" s="10">
        <f>IF(Information!$C$13="Bermuda",(40*Information!$E$13),0)</f>
        <v>0</v>
      </c>
      <c r="D13" s="10">
        <f>IF(Information!$C$14="Bermuda",(40*Information!$E$14),0)</f>
        <v>0</v>
      </c>
      <c r="E13" s="10">
        <f>IF(Information!$C$15="Bermuda",(40*Information!$E$15),0)</f>
        <v>0</v>
      </c>
      <c r="F13" s="20"/>
      <c r="H13" s="5" t="s">
        <v>45</v>
      </c>
      <c r="I13" s="23">
        <f>IF(Information!$F$12="Bermuda",(40*Information!$H$12),0)</f>
        <v>0</v>
      </c>
      <c r="J13" s="10">
        <f>IF(Information!$F$13="Bermuda",(40*Information!$H$13),0)</f>
        <v>0</v>
      </c>
      <c r="K13" s="10">
        <f>IF(Information!$F$14="Bermuda",(40*Information!$H$14),0)</f>
        <v>0</v>
      </c>
      <c r="L13" s="10">
        <f>IF(Information!$F$15="Bermuda",(40*Information!$H$15),0)</f>
        <v>0</v>
      </c>
      <c r="M13" s="20"/>
      <c r="O13" s="5" t="s">
        <v>45</v>
      </c>
      <c r="P13" s="23">
        <f>IF(Information!$I$12="Bermuda",(40*Information!$K$12),0)</f>
        <v>0</v>
      </c>
      <c r="Q13" s="10">
        <f>IF(Information!$I$13="Bermuda",(40*Information!$K$13),0)</f>
        <v>0</v>
      </c>
      <c r="R13" s="10">
        <f>IF(Information!$I$14="Bermuda",(40*Information!$K$14),0)</f>
        <v>0</v>
      </c>
      <c r="S13" s="10">
        <f>IF(Information!$I$15="Bermuda",(40*Information!$K$15),0)</f>
        <v>0</v>
      </c>
      <c r="T13" s="20"/>
    </row>
    <row r="14" spans="1:20" x14ac:dyDescent="0.2">
      <c r="A14" s="5" t="s">
        <v>46</v>
      </c>
      <c r="B14" s="23">
        <f>IF(Information!$C$12="New Brome",40,0)</f>
        <v>0</v>
      </c>
      <c r="C14" s="10">
        <f>IF(Information!$C$13="New Brome",40,0)</f>
        <v>0</v>
      </c>
      <c r="D14" s="10">
        <f>IF(Information!$C$14="New Brome",40,0)</f>
        <v>0</v>
      </c>
      <c r="E14" s="10">
        <f>IF(Information!$C$15="New Brome",40,0)</f>
        <v>0</v>
      </c>
      <c r="F14" s="20"/>
      <c r="H14" s="5" t="s">
        <v>46</v>
      </c>
      <c r="I14" s="23">
        <f>IF(Information!$F$12="New Brome",40,0)</f>
        <v>0</v>
      </c>
      <c r="J14" s="10">
        <f>IF(Information!$F$13="New Brome",40,0)</f>
        <v>0</v>
      </c>
      <c r="K14" s="10">
        <f>IF(Information!$F$14="New Brome",40,0)</f>
        <v>0</v>
      </c>
      <c r="L14" s="10">
        <f>IF(Information!$F$15="New Brome",40,0)</f>
        <v>0</v>
      </c>
      <c r="M14" s="20"/>
      <c r="O14" s="5" t="s">
        <v>46</v>
      </c>
      <c r="P14" s="23">
        <f>IF(Information!$I$12="New Brome",40,0)</f>
        <v>0</v>
      </c>
      <c r="Q14" s="10">
        <f>IF(Information!$I$13="New Brome",40,0)</f>
        <v>0</v>
      </c>
      <c r="R14" s="10">
        <f>IF(Information!$I$14="New Brome",40,0)</f>
        <v>0</v>
      </c>
      <c r="S14" s="10">
        <f>IF(Information!$I$15="New Brome",40,0)</f>
        <v>0</v>
      </c>
      <c r="T14" s="20"/>
    </row>
    <row r="15" spans="1:20" x14ac:dyDescent="0.2">
      <c r="A15" s="5" t="s">
        <v>47</v>
      </c>
      <c r="B15" s="23">
        <f>IF(Information!$C$12="New Fescue",40,0)</f>
        <v>0</v>
      </c>
      <c r="C15" s="10">
        <f>IF(Information!$C$13="New Fescue",40,0)</f>
        <v>0</v>
      </c>
      <c r="D15" s="10">
        <f>IF(Information!$C$14="New Fescue",40,0)</f>
        <v>0</v>
      </c>
      <c r="E15" s="10">
        <f>IF(Information!$C$15="New Fescue",40,0)</f>
        <v>0</v>
      </c>
      <c r="F15" s="20"/>
      <c r="G15" s="5"/>
      <c r="H15" s="5" t="s">
        <v>47</v>
      </c>
      <c r="I15" s="23">
        <f>IF(Information!$F$12="New Fescue",40,0)</f>
        <v>0</v>
      </c>
      <c r="J15" s="10">
        <f>IF(Information!$F$13="New Fescue",40,0)</f>
        <v>0</v>
      </c>
      <c r="K15" s="10">
        <f>IF(Information!$F$14="New Fescue",40,0)</f>
        <v>0</v>
      </c>
      <c r="L15" s="10">
        <f>IF(Information!$F$15="New Fescue",40,0)</f>
        <v>0</v>
      </c>
      <c r="M15" s="20"/>
      <c r="N15" s="5"/>
      <c r="O15" s="5" t="s">
        <v>47</v>
      </c>
      <c r="P15" s="23">
        <f>IF(Information!$I$12="New Fescue",40,0)</f>
        <v>0</v>
      </c>
      <c r="Q15" s="10">
        <f>IF(Information!$I$13="New Fescue",40,0)</f>
        <v>0</v>
      </c>
      <c r="R15" s="10">
        <f>IF(Information!$I$14="New Fescue",40,0)</f>
        <v>0</v>
      </c>
      <c r="S15" s="10">
        <f>IF(Information!$I$15="New Fescue",40,0)</f>
        <v>0</v>
      </c>
      <c r="T15" s="20"/>
    </row>
    <row r="16" spans="1:20" x14ac:dyDescent="0.2">
      <c r="A16" s="5" t="s">
        <v>278</v>
      </c>
      <c r="B16" s="23">
        <f>IF(Information!$C$12="New Bermuda",40,0)</f>
        <v>0</v>
      </c>
      <c r="C16" s="10">
        <f>IF(Information!$C$13="New Bermuda",40,0)</f>
        <v>0</v>
      </c>
      <c r="D16" s="10">
        <f>IF(Information!$C$14="New Bermuda",40,0)</f>
        <v>0</v>
      </c>
      <c r="E16" s="10">
        <f>IF(Information!$C$15="New Bermuda",40,0)</f>
        <v>0</v>
      </c>
      <c r="F16" s="20"/>
      <c r="G16" s="5"/>
      <c r="H16" s="5" t="s">
        <v>278</v>
      </c>
      <c r="I16" s="23">
        <f>IF(Information!$F$12="New Bermuda",40,0)</f>
        <v>0</v>
      </c>
      <c r="J16" s="10">
        <f>IF(Information!$F$13="New Bermuda",40,0)</f>
        <v>0</v>
      </c>
      <c r="K16" s="10">
        <f>IF(Information!$F$14="New Bermuda",40,0)</f>
        <v>0</v>
      </c>
      <c r="L16" s="10">
        <f>IF(Information!$F$15="New Bermuda",40,0)</f>
        <v>0</v>
      </c>
      <c r="M16" s="20"/>
      <c r="N16" s="5"/>
      <c r="O16" s="5" t="s">
        <v>278</v>
      </c>
      <c r="P16" s="23">
        <f>IF(Information!$I$12="New Bermuda",40,0)</f>
        <v>0</v>
      </c>
      <c r="Q16" s="10">
        <f>IF(Information!$I$13="New Bermuda",40,0)</f>
        <v>0</v>
      </c>
      <c r="R16" s="10">
        <f>IF(Information!$I$14="New Bermuda",40,0)</f>
        <v>0</v>
      </c>
      <c r="S16" s="10">
        <f>IF(Information!$I$15="New Bermuda",40,0)</f>
        <v>0</v>
      </c>
      <c r="T16" s="20"/>
    </row>
    <row r="17" spans="1:20" x14ac:dyDescent="0.2">
      <c r="A17" s="5" t="s">
        <v>279</v>
      </c>
      <c r="B17" s="23">
        <f>IF(Information!$C$12="New Alfalfa/Clover",20,0)</f>
        <v>0</v>
      </c>
      <c r="C17" s="10">
        <f>IF(Information!$C$13="New Alfalfa/Clover",20,0)</f>
        <v>0</v>
      </c>
      <c r="D17" s="10">
        <f>IF(Information!$C$14="New Alfalfa/Clover",20,0)</f>
        <v>0</v>
      </c>
      <c r="E17" s="10">
        <f>IF(Information!$C$15="New Alfalfa/Clover",20,0)</f>
        <v>0</v>
      </c>
      <c r="F17" s="20"/>
      <c r="H17" s="5" t="s">
        <v>279</v>
      </c>
      <c r="I17" s="23">
        <f>IF(Information!$F$12="New Alfalfa/Clover",20,0)</f>
        <v>0</v>
      </c>
      <c r="J17" s="10">
        <f>IF(Information!$F$13="New Alfalfa/Clover",20,0)</f>
        <v>0</v>
      </c>
      <c r="K17" s="10">
        <f>IF(Information!$F$14="New Alfalfa/Clover",20,0)</f>
        <v>0</v>
      </c>
      <c r="L17" s="10">
        <f>IF(Information!$F$15="New Alfalfa/Clover",20,0)</f>
        <v>0</v>
      </c>
      <c r="M17" s="20"/>
      <c r="O17" s="5" t="s">
        <v>279</v>
      </c>
      <c r="P17" s="23">
        <f>IF(Information!$I$12="New Alfalfa/Clover",20,0)</f>
        <v>0</v>
      </c>
      <c r="Q17" s="10">
        <f>IF(Information!$I$13="New Alfalfa/Clover",20,0)</f>
        <v>0</v>
      </c>
      <c r="R17" s="10">
        <f>IF(Information!$I$14="New Alfalfa/Clover",20,0)</f>
        <v>0</v>
      </c>
      <c r="S17" s="10">
        <f>IF(Information!$I$15="New Alfalfa/Clover",20,0)</f>
        <v>0</v>
      </c>
      <c r="T17" s="20"/>
    </row>
    <row r="18" spans="1:20" x14ac:dyDescent="0.2">
      <c r="A18" s="5" t="s">
        <v>32</v>
      </c>
      <c r="B18" s="11">
        <v>0</v>
      </c>
      <c r="C18" s="7">
        <v>0</v>
      </c>
      <c r="D18" s="11">
        <v>0</v>
      </c>
      <c r="E18" s="11">
        <v>0</v>
      </c>
      <c r="F18" s="21"/>
      <c r="H18" s="5" t="s">
        <v>32</v>
      </c>
      <c r="I18" s="11">
        <v>0</v>
      </c>
      <c r="J18" s="7">
        <v>0</v>
      </c>
      <c r="K18" s="11">
        <v>0</v>
      </c>
      <c r="L18" s="11">
        <v>0</v>
      </c>
      <c r="M18" s="21"/>
      <c r="O18" s="5" t="s">
        <v>32</v>
      </c>
      <c r="P18" s="11">
        <v>0</v>
      </c>
      <c r="Q18" s="7">
        <v>0</v>
      </c>
      <c r="R18" s="11">
        <v>0</v>
      </c>
      <c r="S18" s="11">
        <v>0</v>
      </c>
      <c r="T18" s="21"/>
    </row>
    <row r="19" spans="1:20" ht="13.5" thickBot="1" x14ac:dyDescent="0.25">
      <c r="A19" s="12" t="s">
        <v>49</v>
      </c>
      <c r="B19" s="13">
        <v>0</v>
      </c>
      <c r="C19" s="13">
        <v>0</v>
      </c>
      <c r="D19" s="13">
        <v>0</v>
      </c>
      <c r="E19" s="13">
        <v>0</v>
      </c>
      <c r="F19" s="21"/>
      <c r="H19" s="12" t="s">
        <v>49</v>
      </c>
      <c r="I19" s="13">
        <v>0</v>
      </c>
      <c r="J19" s="13">
        <v>0</v>
      </c>
      <c r="K19" s="13">
        <v>0</v>
      </c>
      <c r="L19" s="13">
        <v>0</v>
      </c>
      <c r="M19" s="21"/>
      <c r="O19" s="12" t="s">
        <v>49</v>
      </c>
      <c r="P19" s="13">
        <v>0</v>
      </c>
      <c r="Q19" s="13">
        <v>0</v>
      </c>
      <c r="R19" s="13">
        <v>0</v>
      </c>
      <c r="S19" s="13">
        <v>0</v>
      </c>
      <c r="T19" s="21"/>
    </row>
    <row r="20" spans="1:20" ht="13.5" thickTop="1" x14ac:dyDescent="0.2">
      <c r="B20" s="24">
        <f>SUMIF(B4:B19,"&gt;0",B4:B19)</f>
        <v>0</v>
      </c>
      <c r="C20" s="24">
        <f>SUMIF(C4:C19,"&gt;0",C4:C19)</f>
        <v>0</v>
      </c>
      <c r="D20" s="24">
        <f>SUMIF(D4:D19,"&gt;0",D4:D19)</f>
        <v>0</v>
      </c>
      <c r="E20" s="24">
        <f>SUMIF(E4:E19,"&gt;0",E4:E19)</f>
        <v>0</v>
      </c>
      <c r="F20" s="19"/>
      <c r="I20" s="24">
        <f>SUMIF(I4:I19,"&gt;0",I4:I19)</f>
        <v>0</v>
      </c>
      <c r="J20" s="24">
        <f>SUMIF(J4:J19,"&gt;0",J4:J19)</f>
        <v>0</v>
      </c>
      <c r="K20" s="24">
        <f>SUMIF(K4:K19,"&gt;0",K4:K19)</f>
        <v>0</v>
      </c>
      <c r="L20" s="24">
        <f>SUMIF(L4:L19,"&gt;0",L4:L19)</f>
        <v>0</v>
      </c>
      <c r="M20" s="19"/>
      <c r="P20" s="24">
        <f>SUMIF(P4:P19,"&gt;0",P4:P19)</f>
        <v>0</v>
      </c>
      <c r="Q20" s="24">
        <f>SUMIF(Q4:Q19,"&gt;0",Q4:Q19)</f>
        <v>0</v>
      </c>
      <c r="R20" s="24">
        <f>SUMIF(R4:R19,"&gt;0",R4:R19)</f>
        <v>0</v>
      </c>
      <c r="S20" s="24">
        <f>SUMIF(S4:S19,"&gt;0",S4:S19)</f>
        <v>0</v>
      </c>
      <c r="T20" s="19"/>
    </row>
    <row r="23" spans="1:20" ht="13.5" thickBot="1" x14ac:dyDescent="0.25">
      <c r="A23" s="8" t="s">
        <v>53</v>
      </c>
      <c r="B23" s="9" t="s">
        <v>34</v>
      </c>
      <c r="C23" s="9" t="s">
        <v>35</v>
      </c>
      <c r="D23" s="9" t="s">
        <v>36</v>
      </c>
      <c r="E23" s="9" t="s">
        <v>37</v>
      </c>
      <c r="F23" s="18"/>
      <c r="H23" s="8" t="s">
        <v>53</v>
      </c>
      <c r="I23" s="9" t="s">
        <v>34</v>
      </c>
      <c r="J23" s="9" t="s">
        <v>35</v>
      </c>
      <c r="K23" s="9" t="s">
        <v>36</v>
      </c>
      <c r="L23" s="9" t="s">
        <v>37</v>
      </c>
      <c r="M23" s="18"/>
      <c r="O23" s="8" t="s">
        <v>53</v>
      </c>
      <c r="P23" s="9" t="s">
        <v>34</v>
      </c>
      <c r="Q23" s="9" t="s">
        <v>35</v>
      </c>
      <c r="R23" s="9" t="s">
        <v>36</v>
      </c>
      <c r="S23" s="9" t="s">
        <v>37</v>
      </c>
      <c r="T23" s="18"/>
    </row>
    <row r="24" spans="1:20" x14ac:dyDescent="0.2">
      <c r="A24" s="5" t="s">
        <v>30</v>
      </c>
      <c r="B24" s="21">
        <f>IF(AND(Information!$F$8="Southeast",Information!$C$12="Corn",Information!$E$20=""),30,IF(AND(Information!$C$12="Corn",Information!$E$20=""),40,IF(AND(Information!$C$12="Corn",Information!$E$20&gt;0),Information!$E$20*20,0)))</f>
        <v>0</v>
      </c>
      <c r="C24" s="21">
        <f>IF(AND(Information!$F$8="Southeast",Information!$C$13="Corn",Information!$E$21=""),30,IF(AND(Information!$C$13="Corn",Information!$E$21=""),40,IF(AND(Information!$C$13="Corn",Information!$E$21&gt;0),Information!$E$21*20,0)))</f>
        <v>0</v>
      </c>
      <c r="D24" s="21">
        <f>IF(AND(Information!$F$8="Southeast",Information!$C$14="Corn",Information!$E$22=""),30,IF(AND(Information!$C$14="Corn",Information!$E$22=""),40,IF(AND(Information!$C$14="Corn",Information!$E$22&gt;0),Information!$E$22*20,0)))</f>
        <v>0</v>
      </c>
      <c r="E24" s="21">
        <f>IF(AND(Information!$F$8="Southeast",Information!$C$15="Corn",Information!$E$23=""),30,IF(AND(Information!$C$15="Corn",Information!$E$23=""),40,IF(AND(Information!$C$15="Corn",Information!$E$23&gt;0),Information!$E$23*20,0)))</f>
        <v>0</v>
      </c>
      <c r="F24" s="18"/>
      <c r="H24" s="5" t="s">
        <v>30</v>
      </c>
      <c r="I24" s="21">
        <f>IF(AND(Information!$F$8="Southeast",Information!$F$12="Corn",Information!$E$20=""),30,IF(AND(Information!$F$12="Corn",Information!$E$20=""),40,IF(AND(Information!$F$12="Corn",Information!$E$20&gt;0),Information!$E$20*20,0)))</f>
        <v>0</v>
      </c>
      <c r="J24" s="21">
        <f>IF(AND(Information!$F$8="Southeast",Information!$F$13="Corn",Information!$E$21=""),30,IF(AND(Information!$F$13="Corn",Information!$E$21=""),40,IF(AND(Information!$F$13="Corn",Information!$E$21&gt;0),Information!$E$21*20,0)))</f>
        <v>0</v>
      </c>
      <c r="K24" s="21">
        <f>IF(AND(Information!$F$8="Southeast",Information!$F$14="Corn",Information!$E$22=""),30,IF(AND(Information!$F$14="Corn",Information!$E$22=""),40,IF(AND(Information!$F$14="Corn",Information!$E$22&gt;0),Information!$E$22*20,0)))</f>
        <v>0</v>
      </c>
      <c r="L24" s="21">
        <f>IF(AND(Information!$F$8="Southeast",Information!$F$15="Corn",Information!$E$23=""),30,IF(AND(Information!$F$15="Corn",Information!$E$23=""),40,IF(AND(Information!$F$15="Corn",Information!$E$23&gt;0),Information!$E$23*20,0)))</f>
        <v>0</v>
      </c>
      <c r="M24" s="18"/>
      <c r="O24" s="5" t="s">
        <v>30</v>
      </c>
      <c r="P24" s="21">
        <f>IF(AND(Information!$F$8="Southeast",Information!$I$12="Corn",Information!$E$20=""),30,IF(AND(Information!$I$12="Corn",Information!$E$20=""),40,IF(AND(Information!$I$12="Corn",Information!$E$20&gt;0),Information!$E$20*20,0)))</f>
        <v>0</v>
      </c>
      <c r="Q24" s="21">
        <f>IF(AND(Information!$F$8="Southeast",Information!$I$13="Corn",Information!$E$21=""),30,IF(AND(Information!$I$13="Corn",Information!$E$21=""),40,IF(AND(Information!$I$13="Corn",Information!$E$21&gt;0),Information!$E$21*20,0)))</f>
        <v>0</v>
      </c>
      <c r="R24" s="21">
        <f>IF(AND(Information!$F$8="Southeast",Information!$I$14="Corn",Information!$E$22=""),30,IF(AND(Information!$I$14="Corn",Information!$E$22=""),40,IF(AND(Information!$I$14="Corn",Information!$E$22&gt;0),Information!$E$22*20,0)))</f>
        <v>0</v>
      </c>
      <c r="S24" s="21">
        <f>IF(AND(Information!$F$8="Southeast",Information!$I$15="Corn",Information!$E$23=""),30,IF(AND(Information!$I$15="Corn",Information!$E$23=""),40,IF(AND(Information!$I$15="Corn",Information!$E$23&gt;0),Information!$E$23*20,0)))</f>
        <v>0</v>
      </c>
      <c r="T24" s="18"/>
    </row>
    <row r="25" spans="1:20" x14ac:dyDescent="0.2">
      <c r="A25" s="5" t="s">
        <v>38</v>
      </c>
      <c r="B25" s="21">
        <f>IF(AND(Information!$F$8="Southeast",Information!$C$12="Wheat",Information!$E$20=""),15,IF(AND(Information!$C$12="Wheat",Information!$E$20=""),20,IF(AND(Information!$C$12="Wheat",Information!$E$20&gt;0),Information!$E$20*10,0)))</f>
        <v>0</v>
      </c>
      <c r="C25" s="21">
        <f>IF(AND(Information!$F$8="Southeast",Information!$C$13="Wheat",Information!$E$21=""),15,IF(AND(Information!$C$13="Wheat",Information!$E$21=""),20,IF(AND(Information!$C$13="Wheat",Information!$E$21&gt;0),Information!$E$21*10,0)))</f>
        <v>0</v>
      </c>
      <c r="D25" s="21">
        <f>IF(AND(Information!$F$8="Southeast",Information!$C$14="Wheat",Information!$E$22=""),15,IF(AND(Information!$C$14="Wheat",Information!$E$22=""),20,IF(AND(Information!$C$14="Wheat",Information!$E$22&gt;0),Information!$E$22*10,0)))</f>
        <v>0</v>
      </c>
      <c r="E25" s="21">
        <f>IF(AND(Information!$F$8="Southeast",Information!$C$15="Wheat",Information!$E$23=""),15,IF(AND(Information!$C$15="Wheat",Information!$E$23=""),20,IF(AND(Information!$C$15="Wheat",Information!$E$23&gt;0),Information!$E$23*10,0)))</f>
        <v>0</v>
      </c>
      <c r="F25" s="18"/>
      <c r="H25" s="5" t="s">
        <v>38</v>
      </c>
      <c r="I25" s="21">
        <f>IF(AND(Information!$F$8="Southeast",Information!$F$12="Wheat",Information!$E$20=""),15,IF(AND(Information!$F$12="Wheat",Information!$E$20=""),20,IF(AND(Information!$F$12="Wheat",Information!$E$20&gt;0),Information!$E$20*10,0)))</f>
        <v>0</v>
      </c>
      <c r="J25" s="21">
        <f>IF(AND(Information!$F$8="Southeast",Information!$F$13="Wheat",Information!$E$21=""),15,IF(AND(Information!$F$13="Wheat",Information!$E$21=""),20,IF(AND(Information!$F$13="Wheat",Information!$E$21&gt;0),Information!$E$21*10,0)))</f>
        <v>0</v>
      </c>
      <c r="K25" s="21">
        <f>IF(AND(Information!$F$8="Southeast",Information!$F$14="Wheat",Information!$E$22=""),15,IF(AND(Information!$F$14="Wheat",Information!$E$22=""),20,IF(AND(Information!$F$14="Wheat",Information!$E$22&gt;0),Information!$E$22*10,0)))</f>
        <v>0</v>
      </c>
      <c r="L25" s="21">
        <f>IF(AND(Information!$F$8="Southeast",Information!$F$15="Wheat",Information!$E$23=""),15,IF(AND(Information!$F$15="Wheat",Information!$E$23=""),20,IF(AND(Information!$F$15="Wheat",Information!$E$23&gt;0),Information!$E$23*10,0)))</f>
        <v>0</v>
      </c>
      <c r="M25" s="18"/>
      <c r="O25" s="5" t="s">
        <v>38</v>
      </c>
      <c r="P25" s="21">
        <f>IF(AND(Information!$F$8="Southeast",Information!$I$12="Wheat",Information!$E$20=""),15,IF(AND(Information!$I$12="Wheat",Information!$E$20=""),20,IF(AND(Information!$I$12="Wheat",Information!$E$20&gt;0),Information!$E$20*10,0)))</f>
        <v>0</v>
      </c>
      <c r="Q25" s="21">
        <f>IF(AND(Information!$F$8="Southeast",Information!$I$13="Wheat",Information!$E$21=""),15,IF(AND(Information!$I$13="Wheat",Information!$E$21=""),20,IF(AND(Information!$I$13="Wheat",Information!$E$21&gt;0),Information!$E$21*10,0)))</f>
        <v>0</v>
      </c>
      <c r="R25" s="21">
        <f>IF(AND(Information!$F$8="Southeast",Information!$I$14="Wheat",Information!$E$22=""),15,IF(AND(Information!$I$14="Wheat",Information!$E$22=""),20,IF(AND(Information!$I$14="Wheat",Information!$E$22&gt;0),Information!$E$22*10,0)))</f>
        <v>0</v>
      </c>
      <c r="S25" s="21">
        <f>IF(AND(Information!$F$8="Southeast",Information!$I$15="Wheat",Information!$E$23=""),15,IF(AND(Information!$I$15="Wheat",Information!$E$23=""),20,IF(AND(Information!$I$15="Wheat",Information!$E$23&gt;0),Information!$E$23*10,0)))</f>
        <v>0</v>
      </c>
      <c r="T25" s="18"/>
    </row>
    <row r="26" spans="1:20" x14ac:dyDescent="0.2">
      <c r="A26" s="5" t="s">
        <v>39</v>
      </c>
      <c r="B26" s="21">
        <f>IF(AND(Information!$F$8="Southeast",Information!$C$12="Grain Sorghum",Information!$E$20=""),30,IF(AND(Information!$C$12="Grain Sorghum",Information!$E$20=""),40,IF(AND(Information!$C$12="Grain Sorghum",Information!$E$20&gt;0),Information!$E$20*20,0)))</f>
        <v>0</v>
      </c>
      <c r="C26" s="21">
        <f>IF(AND(Information!$F$8="Southeast",Information!$C$13="Grain Sorghum",Information!$E$21=""),30,IF(AND(Information!$C$13="Grain Sorghum",Information!$E$21=""),40,IF(AND(Information!$C$13="Grain Sorghum",Information!$E$21&gt;0),Information!$E$21*20,0)))</f>
        <v>0</v>
      </c>
      <c r="D26" s="21">
        <f>IF(AND(Information!$F$8="Southeast",Information!$C$14="Grain Sorghum",Information!$E$22=""),30,IF(AND(Information!$C$14="Grain Sorghum",Information!$E$22=""),40,IF(AND(Information!$C$14="Grain Sorghum",Information!$E$22&gt;0),Information!$E$22*20,0)))</f>
        <v>0</v>
      </c>
      <c r="E26" s="21">
        <f>IF(AND(Information!$F$8="Southeast",Information!$C$15="Grain Sorghum",Information!$E$23=""),30,IF(AND(Information!$C$15="Grain Sorghum",Information!$E$23=""),40,IF(AND(Information!$C$15="Grain Sorghum",Information!$E$23&gt;0),Information!$E$23*20,0)))</f>
        <v>0</v>
      </c>
      <c r="F26" s="18"/>
      <c r="H26" s="5" t="s">
        <v>39</v>
      </c>
      <c r="I26" s="21">
        <f>IF(AND(Information!$F$8="Southeast",Information!$F$12="Grain Sorghum",Information!$E$20=""),30,IF(AND(Information!$F$12="Grain Sorghum",Information!$E$20=""),40,IF(AND(Information!$F$12="Grain Sorghum",Information!$E$20&gt;0),Information!$E$20*20,0)))</f>
        <v>0</v>
      </c>
      <c r="J26" s="21">
        <f>IF(AND(Information!$F$8="Southeast",Information!$F$13="Grain Sorghum",Information!$E$21=""),30,IF(AND(Information!$F$13="Grain Sorghum",Information!$E$21=""),40,IF(AND(Information!$F$13="Grain Sorghum",Information!$E$21&gt;0),Information!$E$21*20,0)))</f>
        <v>0</v>
      </c>
      <c r="K26" s="21">
        <f>IF(AND(Information!$F$8="Southeast",Information!$F$14="Grain Sorghum",Information!$E$22=""),30,IF(AND(Information!$F$14="Grain Sorghum",Information!$E$22=""),40,IF(AND(Information!$F$14="Grain Sorghum",Information!$E$22&gt;0),Information!$E$22*20,0)))</f>
        <v>0</v>
      </c>
      <c r="L26" s="21">
        <f>IF(AND(Information!$F$8="Southeast",Information!$F$15="Grain Sorghum",Information!$E$23=""),30,IF(AND(Information!$F$15="Grain Sorghum",Information!$E$23=""),40,IF(AND(Information!$F$15="Grain Sorghum",Information!$E$23&gt;0),Information!$E$23*20,0)))</f>
        <v>0</v>
      </c>
      <c r="M26" s="18"/>
      <c r="O26" s="5" t="s">
        <v>39</v>
      </c>
      <c r="P26" s="21">
        <f>IF(AND(Information!$F$8="Southeast",Information!$I$12="Grain Sorghum",Information!$E$20=""),30,IF(AND(Information!$I$12="Grain Sorghum",Information!$E$20=""),40,IF(AND(Information!$I$12="Grain Sorghum",Information!$E$20&gt;0),Information!$E$20*20,0)))</f>
        <v>0</v>
      </c>
      <c r="Q26" s="21">
        <f>IF(AND(Information!$F$8="Southeast",Information!$I$13="Grain Sorghum",Information!$E$21=""),30,IF(AND(Information!$I$13="Grain Sorghum",Information!$E$21=""),40,IF(AND(Information!$I$13="Grain Sorghum",Information!$E$21&gt;0),Information!$E$21*20,0)))</f>
        <v>0</v>
      </c>
      <c r="R26" s="21">
        <f>IF(AND(Information!$F$8="Southeast",Information!$I$14="Grain Sorghum",Information!$E$22=""),30,IF(AND(Information!$I$14="Grain Sorghum",Information!$E$22=""),40,IF(AND(Information!$I$14="Grain Sorghum",Information!$E$22&gt;0),Information!$E$22*20,0)))</f>
        <v>0</v>
      </c>
      <c r="S26" s="21">
        <f>IF(AND(Information!$F$8="Southeast",Information!$I$15="Grain Sorghum",Information!$E$23=""),30,IF(AND(Information!$I$15="Grain Sorghum",Information!$E$23=""),40,IF(AND(Information!$I$15="Grain Sorghum",Information!$E$23&gt;0),Information!$E$23*20,0)))</f>
        <v>0</v>
      </c>
      <c r="T26" s="18"/>
    </row>
    <row r="27" spans="1:20" x14ac:dyDescent="0.2">
      <c r="A27" s="5" t="s">
        <v>40</v>
      </c>
      <c r="B27" s="21">
        <f>IF(AND(Information!$F$8="Southeast",Information!$C$12="Silage-Corn",Information!$E$20=""),30,IF(AND(Information!$C$12="Silage-Corn",Information!$E$20=""),40,IF(AND(Information!$C$12="Silage-Corn",Information!$E$20&gt;0),Information!$E$20*20,0)))</f>
        <v>0</v>
      </c>
      <c r="C27" s="21">
        <f>IF(AND(Information!$F$8="Southeast",Information!$C$13="Silage-Corn",Information!$E$21=""),30,IF(AND(Information!$C$13="Silage-Corn",Information!$E$21=""),40,IF(AND(Information!$C$13="Silage-Corn",Information!$E$21&gt;0),Information!$E$21*20,0)))</f>
        <v>0</v>
      </c>
      <c r="D27" s="21">
        <f>IF(AND(Information!$F$8="Southeast",Information!$C$14="Silage-Corn",Information!$E$22=""),30,IF(AND(Information!$C$14="Silage-Corn",Information!$E$22=""),40,IF(AND(Information!$C$14="Silage-Corn",Information!$E$22&gt;0),Information!$E$22*20,0)))</f>
        <v>0</v>
      </c>
      <c r="E27" s="21">
        <f>IF(AND(Information!$F$8="Southeast",Information!$C$15="Silage-Corn",Information!$E$23=""),30,IF(AND(Information!$C$15="Silage-Corn",Information!$E$23=""),40,IF(AND(Information!$C$15="Silage-Corn",Information!$E$23&gt;0),Information!$E$23*20,0)))</f>
        <v>0</v>
      </c>
      <c r="F27" s="18"/>
      <c r="H27" s="5" t="s">
        <v>40</v>
      </c>
      <c r="I27" s="21">
        <f>IF(AND(Information!$F$8="Southeast",Information!$F$12="Silage-Corn",Information!$E$20=""),30,IF(AND(Information!$F$12="Silage-Corn",Information!$E$20=""),40,IF(AND(Information!$F$12="Silage-Corn",Information!$E$20&gt;0),Information!$E$20*20,0)))</f>
        <v>0</v>
      </c>
      <c r="J27" s="21">
        <f>IF(AND(Information!$F$8="Southeast",Information!$F$13="Silage-Corn",Information!$E$21=""),30,IF(AND(Information!$F$13="Silage-Corn",Information!$E$21=""),40,IF(AND(Information!$F$13="Silage-Corn",Information!$E$21&gt;0),Information!$E$21*20,0)))</f>
        <v>0</v>
      </c>
      <c r="K27" s="21">
        <f>IF(AND(Information!$F$8="Southeast",Information!$F$14="Silage-Corn",Information!$E$22=""),30,IF(AND(Information!$F$14="Silage-Corn",Information!$E$22=""),40,IF(AND(Information!$F$14="Silage-Corn",Information!$E$22&gt;0),Information!$E$22*20,0)))</f>
        <v>0</v>
      </c>
      <c r="L27" s="21">
        <f>IF(AND(Information!$F$8="Southeast",Information!$F$15="Silage-Corn",Information!$E$23=""),30,IF(AND(Information!$F$15="Silage-Corn",Information!$E$23=""),40,IF(AND(Information!$F$15="Silage-Corn",Information!$E$23&gt;0),Information!$E$23*20,0)))</f>
        <v>0</v>
      </c>
      <c r="M27" s="18"/>
      <c r="O27" s="5" t="s">
        <v>40</v>
      </c>
      <c r="P27" s="21">
        <f>IF(AND(Information!$F$8="Southeast",Information!$I$12="Silage-Corn",Information!$E$20=""),30,IF(AND(Information!$I$12="Silage-Corn",Information!$E$20=""),40,IF(AND(Information!$I$12="Silage-Corn",Information!$E$20&gt;0),Information!$E$20*20,0)))</f>
        <v>0</v>
      </c>
      <c r="Q27" s="21">
        <f>IF(AND(Information!$F$8="Southeast",Information!$I$13="Silage-Corn",Information!$E$21=""),30,IF(AND(Information!$I$13="Silage-Corn",Information!$E$21=""),40,IF(AND(Information!$I$13="Silage-Corn",Information!$E$21&gt;0),Information!$E$21*20,0)))</f>
        <v>0</v>
      </c>
      <c r="R27" s="21">
        <f>IF(AND(Information!$F$8="Southeast",Information!$I$14="Silage-Corn",Information!$E$22=""),30,IF(AND(Information!$I$14="Silage-Corn",Information!$E$22=""),40,IF(AND(Information!$I$14="Silage-Corn",Information!$E$22&gt;0),Information!$E$22*20,0)))</f>
        <v>0</v>
      </c>
      <c r="S27" s="21">
        <f>IF(AND(Information!$F$8="Southeast",Information!$I$15="Silage-Corn",Information!$E$23=""),30,IF(AND(Information!$I$15="Silage-Corn",Information!$E$23=""),40,IF(AND(Information!$I$15="Silage-Corn",Information!$E$23&gt;0),Information!$E$23*20,0)))</f>
        <v>0</v>
      </c>
      <c r="T27" s="18"/>
    </row>
    <row r="28" spans="1:20" x14ac:dyDescent="0.2">
      <c r="A28" s="5" t="s">
        <v>41</v>
      </c>
      <c r="B28" s="21">
        <f>IF(AND(Information!$F$8="Southeast",Information!$C$12="Silage-Sorghum",Information!$E$20=""),30,IF(AND(Information!$C$12="Silage-Sorghum",Information!$E$20=""),40,IF(AND(Information!$C$12="Silage-Sorghum",Information!$E$20&gt;0),Information!$E$20*20,0)))</f>
        <v>0</v>
      </c>
      <c r="C28" s="21">
        <f>IF(AND(Information!$F$8="Southeast",Information!$C$13="Silage-Sorghum",Information!$E$21=""),30,IF(AND(Information!$C$13="Silage-Sorghum",Information!$E$21=""),40,IF(AND(Information!$C$13="Silage-Sorghum",Information!$E$21&gt;0),Information!$E$21*20,0)))</f>
        <v>0</v>
      </c>
      <c r="D28" s="21">
        <f>IF(AND(Information!$F$8="Southeast",Information!$C$14="Silage-Sorghum",Information!$E$22=""),30,IF(AND(Information!$C$14="Silage-Sorghum",Information!$E$22=""),40,IF(AND(Information!$C$14="Silage-Sorghum",Information!$E$22&gt;0),Information!$E$22*20,0)))</f>
        <v>0</v>
      </c>
      <c r="E28" s="21">
        <f>IF(AND(Information!$F$8="Southeast",Information!$C$15="Silage-Sorghum",Information!$E$23=""),30,IF(AND(Information!$C$15="Silage-Sorghum",Information!$E$23=""),40,IF(AND(Information!$C$15="Silage-Sorghum",Information!$E$23&gt;0),Information!$E$23*20,0)))</f>
        <v>0</v>
      </c>
      <c r="F28" s="18"/>
      <c r="H28" s="5" t="s">
        <v>41</v>
      </c>
      <c r="I28" s="21">
        <f>IF(AND(Information!$F$8="Southeast",Information!$F$12="Silage-Sorghum",Information!$E$20=""),30,IF(AND(Information!$F$12="Silage-Sorghum",Information!$E$20=""),40,IF(AND(Information!$F$12="Silage-Sorghum",Information!$E$20&gt;0),Information!$E$20*20,0)))</f>
        <v>0</v>
      </c>
      <c r="J28" s="21">
        <f>IF(AND(Information!$F$8="Southeast",Information!$F$13="Silage-Sorghum",Information!$E$21=""),30,IF(AND(Information!$F$13="Silage-Sorghum",Information!$E$21=""),40,IF(AND(Information!$F$13="Silage-Sorghum",Information!$E$21&gt;0),Information!$E$21*20,0)))</f>
        <v>0</v>
      </c>
      <c r="K28" s="21">
        <f>IF(AND(Information!$F$8="Southeast",Information!$F$14="Silage-Sorghum",Information!$E$22=""),30,IF(AND(Information!$F$14="Silage-Sorghum",Information!$E$22=""),40,IF(AND(Information!$F$14="Silage-Sorghum",Information!$E$22&gt;0),Information!$E$22*20,0)))</f>
        <v>0</v>
      </c>
      <c r="L28" s="21">
        <f>IF(AND(Information!$F$8="Southeast",Information!$F$15="Silage-Sorghum",Information!$E$23=""),30,IF(AND(Information!$F$15="Silage-Sorghum",Information!$E$23=""),40,IF(AND(Information!$F$15="Silage-Sorghum",Information!$E$23&gt;0),Information!$E$23*20,0)))</f>
        <v>0</v>
      </c>
      <c r="M28" s="18"/>
      <c r="O28" s="5" t="s">
        <v>41</v>
      </c>
      <c r="P28" s="21">
        <f>IF(AND(Information!$F$8="Southeast",Information!$I$12="Silage-Sorghum",Information!$E$20=""),30,IF(AND(Information!$I$12="Silage-Sorghum",Information!$E$20=""),40,IF(AND(Information!$I$12="Silage-Sorghum",Information!$E$20&gt;0),Information!$E$20*20,0)))</f>
        <v>0</v>
      </c>
      <c r="Q28" s="21">
        <f>IF(AND(Information!$F$8="Southeast",Information!$I$13="Silage-Sorghum",Information!$E$21=""),30,IF(AND(Information!$I$13="Silage-Sorghum",Information!$E$21=""),40,IF(AND(Information!$I$13="Silage-Sorghum",Information!$E$21&gt;0),Information!$E$21*20,0)))</f>
        <v>0</v>
      </c>
      <c r="R28" s="21">
        <f>IF(AND(Information!$F$8="Southeast",Information!$I$14="Silage-Sorghum",Information!$E$22=""),30,IF(AND(Information!$I$14="Silage-Sorghum",Information!$E$22=""),40,IF(AND(Information!$I$14="Silage-Sorghum",Information!$E$22&gt;0),Information!$E$22*20,0)))</f>
        <v>0</v>
      </c>
      <c r="S28" s="21">
        <f>IF(AND(Information!$F$8="Southeast",Information!$I$15="Silage-Sorghum",Information!$E$23=""),30,IF(AND(Information!$I$15="Silage-Sorghum",Information!$E$23=""),40,IF(AND(Information!$I$15="Silage-Sorghum",Information!$E$23&gt;0),Information!$E$23*20,0)))</f>
        <v>0</v>
      </c>
      <c r="T28" s="18"/>
    </row>
    <row r="29" spans="1:20" x14ac:dyDescent="0.2">
      <c r="A29" s="5" t="s">
        <v>42</v>
      </c>
      <c r="B29" s="21">
        <f>IF(AND(Information!$F$8="Southeast",Information!$C$12="Sunflower",Information!$E$20=""),30,IF(AND(Information!$C$12="Sunflower",Information!$E$20=""),40,IF(AND(Information!$C$12="Sunflower",Information!$E$20&gt;0),Information!$E$20*20,0)))</f>
        <v>0</v>
      </c>
      <c r="C29" s="21">
        <f>IF(AND(Information!$F$8="Southeast",Information!$C$13="Sunflower",Information!$E$21=""),30,IF(AND(Information!$C$13="Sunflower",Information!$E$21=""),40,IF(AND(Information!$C$13="Sunflower",Information!$E$21&gt;0),Information!$E$21*20,0)))</f>
        <v>0</v>
      </c>
      <c r="D29" s="21">
        <f>IF(AND(Information!$F$8="Southeast",Information!$C$14="Sunflower",Information!$E$22=""),30,IF(AND(Information!$C$14="Sunflower",Information!$E$22=""),40,IF(AND(Information!$C$14="Sunflower",Information!$E$22&gt;0),Information!$E$22*20,0)))</f>
        <v>0</v>
      </c>
      <c r="E29" s="21">
        <f>IF(AND(Information!$F$8="Southeast",Information!$C$15="Sunflower",Information!$E$23=""),30,IF(AND(Information!$C$15="Sunflower",Information!$E$23=""),40,IF(AND(Information!$C$15="Sunflower",Information!$E$23&gt;0),Information!$E$23*20,0)))</f>
        <v>0</v>
      </c>
      <c r="F29" s="18"/>
      <c r="H29" s="5" t="s">
        <v>42</v>
      </c>
      <c r="I29" s="21">
        <f>IF(AND(Information!$F$8="Southeast",Information!$F$12="Sunflower",Information!$E$20=""),30,IF(AND(Information!$F$12="Sunflower",Information!$E$20=""),40,IF(AND(Information!$F$12="Sunflower",Information!$E$20&gt;0),Information!$E$20*20,0)))</f>
        <v>0</v>
      </c>
      <c r="J29" s="21">
        <f>IF(AND(Information!$F$8="Southeast",Information!$F$13="Sunflower",Information!$E$21=""),30,IF(AND(Information!$F$13="Sunflower",Information!$E$21=""),40,IF(AND(Information!$F$13="Sunflower",Information!$E$21&gt;0),Information!$E$21*20,0)))</f>
        <v>0</v>
      </c>
      <c r="K29" s="21">
        <f>IF(AND(Information!$F$8="Southeast",Information!$F$14="Sunflower",Information!$E$22=""),30,IF(AND(Information!$F$14="Sunflower",Information!$E$22=""),40,IF(AND(Information!$F$14="Sunflower",Information!$E$22&gt;0),Information!$E$22*20,0)))</f>
        <v>0</v>
      </c>
      <c r="L29" s="21">
        <f>IF(AND(Information!$F$8="Southeast",Information!$F$15="Sunflower",Information!$E$23=""),30,IF(AND(Information!$F$15="Sunflower",Information!$E$23=""),40,IF(AND(Information!$F$15="Sunflower",Information!$E$23&gt;0),Information!$E$23*20,0)))</f>
        <v>0</v>
      </c>
      <c r="M29" s="18"/>
      <c r="O29" s="5" t="s">
        <v>42</v>
      </c>
      <c r="P29" s="21">
        <f>IF(AND(Information!$F$8="Southeast",Information!$I$12="Sunflower",Information!$E$20=""),30,IF(AND(Information!$I$12="Sunflower",Information!$E$20=""),40,IF(AND(Information!$I$12="Sunflower",Information!$E$20&gt;0),Information!$E$20*20,0)))</f>
        <v>0</v>
      </c>
      <c r="Q29" s="21">
        <f>IF(AND(Information!$F$8="Southeast",Information!$I$13="Sunflower",Information!$E$21=""),30,IF(AND(Information!$I$13="Sunflower",Information!$E$21=""),40,IF(AND(Information!$I$13="Sunflower",Information!$E$21&gt;0),Information!$E$21*20,0)))</f>
        <v>0</v>
      </c>
      <c r="R29" s="21">
        <f>IF(AND(Information!$F$8="Southeast",Information!$I$14="Sunflower",Information!$E$22=""),30,IF(AND(Information!$I$14="Sunflower",Information!$E$22=""),40,IF(AND(Information!$I$14="Sunflower",Information!$E$22&gt;0),Information!$E$22*20,0)))</f>
        <v>0</v>
      </c>
      <c r="S29" s="21">
        <f>IF(AND(Information!$F$8="Southeast",Information!$I$15="Sunflower",Information!$E$23=""),30,IF(AND(Information!$I$15="Sunflower",Information!$E$23=""),40,IF(AND(Information!$I$15="Sunflower",Information!$E$23&gt;0),Information!$E$23*20,0)))</f>
        <v>0</v>
      </c>
      <c r="T29" s="18"/>
    </row>
    <row r="30" spans="1:20" x14ac:dyDescent="0.2">
      <c r="A30" s="5" t="s">
        <v>43</v>
      </c>
      <c r="B30" s="21">
        <f>IF(AND(Information!$F$8="Southeast",Information!$C$12="Oats",Information!$E$20=""),15,IF(AND(Information!$C$12="Oats",Information!$E$20=""),20,IF(AND(Information!$C$12="Oats",Information!$E$20&gt;0),Information!$E$20*10,0)))</f>
        <v>0</v>
      </c>
      <c r="C30" s="21">
        <f>IF(AND(Information!$F$8="Southeast",Information!$C$13="Oats",Information!$E$21=""),15,IF(AND(Information!$C$13="Oats",Information!$E$21=""),20,IF(AND(Information!$C$13="Oats",Information!$E$21&gt;0),Information!$E$21*10,0)))</f>
        <v>0</v>
      </c>
      <c r="D30" s="21">
        <f>IF(AND(Information!$F$8="Southeast",Information!$C$14="Oats",Information!$E$22=""),15,IF(AND(Information!$C$14="Oats",Information!$E$22=""),20,IF(AND(Information!$C$14="Oats",Information!$E$22&gt;0),Information!$E$22*10,0)))</f>
        <v>0</v>
      </c>
      <c r="E30" s="21">
        <f>IF(AND(Information!$F$8="Southeast",Information!$C$15="Oats",Information!$E$23=""),15,IF(AND(Information!$C$15="Oats",Information!$E$23=""),20,IF(AND(Information!$C$15="Oats",Information!$E$23&gt;0),Information!$E$23*10,0)))</f>
        <v>0</v>
      </c>
      <c r="F30" s="18"/>
      <c r="H30" s="5" t="s">
        <v>43</v>
      </c>
      <c r="I30" s="21">
        <f>IF(AND(Information!$F$8="Southeast",Information!$F$12="Oats",Information!$E$20=""),15,IF(AND(Information!$F$12="Oats",Information!$E$20=""),20,IF(AND(Information!$F$12="Oats",Information!$E$20&gt;0),Information!$E$20*10,0)))</f>
        <v>0</v>
      </c>
      <c r="J30" s="21">
        <f>IF(AND(Information!$F$8="Southeast",Information!$F$13="Oats",Information!$E$21=""),15,IF(AND(Information!$F$13="Oats",Information!$E$21=""),20,IF(AND(Information!$F$13="Oats",Information!$E$21&gt;0),Information!$E$21*10,0)))</f>
        <v>0</v>
      </c>
      <c r="K30" s="21">
        <f>IF(AND(Information!$F$8="Southeast",Information!$F$14="Oats",Information!$E$22=""),15,IF(AND(Information!$F$14="Oats",Information!$E$22=""),20,IF(AND(Information!$F$14="Oats",Information!$E$22&gt;0),Information!$E$22*10,0)))</f>
        <v>0</v>
      </c>
      <c r="L30" s="21">
        <f>IF(AND(Information!$F$8="Southeast",Information!$F$15="Oats",Information!$E$23=""),15,IF(AND(Information!$F$15="Oats",Information!$E$23=""),20,IF(AND(Information!$F$15="Oats",Information!$E$23&gt;0),Information!$E$23*10,0)))</f>
        <v>0</v>
      </c>
      <c r="M30" s="18"/>
      <c r="O30" s="5" t="s">
        <v>43</v>
      </c>
      <c r="P30" s="21">
        <f>IF(AND(Information!$F$8="Southeast",Information!$I$12="Oats",Information!$E$20=""),15,IF(AND(Information!$I$12="Oats",Information!$E$20=""),20,IF(AND(Information!$I$12="Oats",Information!$E$20&gt;0),Information!$E$20*10,0)))</f>
        <v>0</v>
      </c>
      <c r="Q30" s="21">
        <f>IF(AND(Information!$F$8="Southeast",Information!$I$13="Oats",Information!$E$21=""),15,IF(AND(Information!$I$13="Oats",Information!$E$21=""),20,IF(AND(Information!$I$13="Oats",Information!$E$21&gt;0),Information!$E$21*10,0)))</f>
        <v>0</v>
      </c>
      <c r="R30" s="21">
        <f>IF(AND(Information!$F$8="Southeast",Information!$I$14="Oats",Information!$E$22=""),15,IF(AND(Information!$I$14="Oats",Information!$E$22=""),20,IF(AND(Information!$I$14="Oats",Information!$E$22&gt;0),Information!$E$22*10,0)))</f>
        <v>0</v>
      </c>
      <c r="S30" s="21">
        <f>IF(AND(Information!$F$8="Southeast",Information!$I$15="Oats",Information!$E$23=""),15,IF(AND(Information!$I$15="Oats",Information!$E$23=""),20,IF(AND(Information!$I$15="Oats",Information!$E$23&gt;0),Information!$E$23*10,0)))</f>
        <v>0</v>
      </c>
      <c r="T30" s="18"/>
    </row>
    <row r="31" spans="1:20" x14ac:dyDescent="0.2">
      <c r="A31" s="5" t="s">
        <v>56</v>
      </c>
      <c r="B31" s="21">
        <v>0</v>
      </c>
      <c r="C31" s="21">
        <v>0</v>
      </c>
      <c r="D31" s="21">
        <v>0</v>
      </c>
      <c r="E31" s="21">
        <v>0</v>
      </c>
      <c r="F31" s="18"/>
      <c r="H31" s="5" t="s">
        <v>56</v>
      </c>
      <c r="I31" s="21">
        <v>0</v>
      </c>
      <c r="J31" s="21">
        <v>0</v>
      </c>
      <c r="K31" s="21">
        <v>0</v>
      </c>
      <c r="L31" s="21">
        <v>0</v>
      </c>
      <c r="M31" s="18"/>
      <c r="O31" s="5" t="s">
        <v>56</v>
      </c>
      <c r="P31" s="21">
        <v>0</v>
      </c>
      <c r="Q31" s="21">
        <v>0</v>
      </c>
      <c r="R31" s="21">
        <v>0</v>
      </c>
      <c r="S31" s="21">
        <v>0</v>
      </c>
      <c r="T31" s="18"/>
    </row>
    <row r="32" spans="1:20" x14ac:dyDescent="0.2">
      <c r="A32" s="5" t="s">
        <v>44</v>
      </c>
      <c r="B32" s="21">
        <v>0</v>
      </c>
      <c r="C32" s="21">
        <v>0</v>
      </c>
      <c r="D32" s="21">
        <v>0</v>
      </c>
      <c r="E32" s="21">
        <v>0</v>
      </c>
      <c r="F32" s="18"/>
      <c r="H32" s="5" t="s">
        <v>44</v>
      </c>
      <c r="I32" s="21">
        <v>0</v>
      </c>
      <c r="J32" s="21">
        <v>0</v>
      </c>
      <c r="K32" s="21">
        <v>0</v>
      </c>
      <c r="L32" s="21">
        <v>0</v>
      </c>
      <c r="M32" s="18"/>
      <c r="O32" s="5" t="s">
        <v>44</v>
      </c>
      <c r="P32" s="21">
        <v>0</v>
      </c>
      <c r="Q32" s="21">
        <v>0</v>
      </c>
      <c r="R32" s="21">
        <v>0</v>
      </c>
      <c r="S32" s="21">
        <v>0</v>
      </c>
      <c r="T32" s="18"/>
    </row>
    <row r="33" spans="1:20" x14ac:dyDescent="0.2">
      <c r="A33" s="5" t="s">
        <v>45</v>
      </c>
      <c r="B33" s="21">
        <v>0</v>
      </c>
      <c r="C33" s="21">
        <v>0</v>
      </c>
      <c r="D33" s="21">
        <v>0</v>
      </c>
      <c r="E33" s="21">
        <v>0</v>
      </c>
      <c r="F33" s="18"/>
      <c r="H33" s="5" t="s">
        <v>45</v>
      </c>
      <c r="I33" s="21">
        <v>0</v>
      </c>
      <c r="J33" s="21">
        <v>0</v>
      </c>
      <c r="K33" s="21">
        <v>0</v>
      </c>
      <c r="L33" s="21">
        <v>0</v>
      </c>
      <c r="M33" s="18"/>
      <c r="O33" s="5" t="s">
        <v>45</v>
      </c>
      <c r="P33" s="21">
        <v>0</v>
      </c>
      <c r="Q33" s="21">
        <v>0</v>
      </c>
      <c r="R33" s="21">
        <v>0</v>
      </c>
      <c r="S33" s="21">
        <v>0</v>
      </c>
      <c r="T33" s="18"/>
    </row>
    <row r="34" spans="1:20" x14ac:dyDescent="0.2">
      <c r="A34" s="5" t="s">
        <v>46</v>
      </c>
      <c r="B34" s="21">
        <v>0</v>
      </c>
      <c r="C34" s="21">
        <v>0</v>
      </c>
      <c r="D34" s="21">
        <v>0</v>
      </c>
      <c r="E34" s="21">
        <v>0</v>
      </c>
      <c r="F34" s="18"/>
      <c r="H34" s="5" t="s">
        <v>46</v>
      </c>
      <c r="I34" s="21">
        <v>0</v>
      </c>
      <c r="J34" s="21">
        <v>0</v>
      </c>
      <c r="K34" s="21">
        <v>0</v>
      </c>
      <c r="L34" s="21">
        <v>0</v>
      </c>
      <c r="M34" s="18"/>
      <c r="O34" s="5" t="s">
        <v>46</v>
      </c>
      <c r="P34" s="21">
        <v>0</v>
      </c>
      <c r="Q34" s="21">
        <v>0</v>
      </c>
      <c r="R34" s="21">
        <v>0</v>
      </c>
      <c r="S34" s="21">
        <v>0</v>
      </c>
      <c r="T34" s="18"/>
    </row>
    <row r="35" spans="1:20" x14ac:dyDescent="0.2">
      <c r="A35" s="5" t="s">
        <v>47</v>
      </c>
      <c r="B35" s="21">
        <v>0</v>
      </c>
      <c r="C35" s="21">
        <v>0</v>
      </c>
      <c r="D35" s="21">
        <v>0</v>
      </c>
      <c r="E35" s="21">
        <v>0</v>
      </c>
      <c r="F35" s="18"/>
      <c r="H35" s="5" t="s">
        <v>47</v>
      </c>
      <c r="I35" s="21">
        <v>0</v>
      </c>
      <c r="J35" s="21">
        <v>0</v>
      </c>
      <c r="K35" s="21">
        <v>0</v>
      </c>
      <c r="L35" s="21">
        <v>0</v>
      </c>
      <c r="M35" s="18"/>
      <c r="O35" s="5" t="s">
        <v>47</v>
      </c>
      <c r="P35" s="21">
        <v>0</v>
      </c>
      <c r="Q35" s="21">
        <v>0</v>
      </c>
      <c r="R35" s="21">
        <v>0</v>
      </c>
      <c r="S35" s="21">
        <v>0</v>
      </c>
      <c r="T35" s="18"/>
    </row>
    <row r="36" spans="1:20" x14ac:dyDescent="0.2">
      <c r="A36" s="5" t="s">
        <v>278</v>
      </c>
      <c r="B36" s="21">
        <v>0</v>
      </c>
      <c r="C36" s="21">
        <v>0</v>
      </c>
      <c r="D36" s="21">
        <v>0</v>
      </c>
      <c r="E36" s="21">
        <v>0</v>
      </c>
      <c r="F36" s="18"/>
      <c r="H36" s="5" t="s">
        <v>278</v>
      </c>
      <c r="I36" s="21">
        <v>0</v>
      </c>
      <c r="J36" s="21">
        <v>0</v>
      </c>
      <c r="K36" s="21">
        <v>0</v>
      </c>
      <c r="L36" s="21">
        <v>0</v>
      </c>
      <c r="M36" s="18"/>
      <c r="O36" s="5" t="s">
        <v>278</v>
      </c>
      <c r="P36" s="21">
        <v>0</v>
      </c>
      <c r="Q36" s="21">
        <v>0</v>
      </c>
      <c r="R36" s="21">
        <v>0</v>
      </c>
      <c r="S36" s="21">
        <v>0</v>
      </c>
      <c r="T36" s="18"/>
    </row>
    <row r="37" spans="1:20" x14ac:dyDescent="0.2">
      <c r="A37" s="5" t="s">
        <v>279</v>
      </c>
      <c r="B37" s="21">
        <v>0</v>
      </c>
      <c r="C37" s="21">
        <v>0</v>
      </c>
      <c r="D37" s="21">
        <v>0</v>
      </c>
      <c r="E37" s="21">
        <v>0</v>
      </c>
      <c r="F37" s="18"/>
      <c r="H37" s="5" t="s">
        <v>279</v>
      </c>
      <c r="I37" s="21">
        <v>0</v>
      </c>
      <c r="J37" s="21">
        <v>0</v>
      </c>
      <c r="K37" s="21">
        <v>0</v>
      </c>
      <c r="L37" s="21">
        <v>0</v>
      </c>
      <c r="M37" s="18"/>
      <c r="O37" s="5" t="s">
        <v>279</v>
      </c>
      <c r="P37" s="21">
        <v>0</v>
      </c>
      <c r="Q37" s="21">
        <v>0</v>
      </c>
      <c r="R37" s="21">
        <v>0</v>
      </c>
      <c r="S37" s="21">
        <v>0</v>
      </c>
      <c r="T37" s="18"/>
    </row>
    <row r="38" spans="1:20" x14ac:dyDescent="0.2">
      <c r="A38" s="5" t="s">
        <v>32</v>
      </c>
      <c r="B38" s="21">
        <v>0</v>
      </c>
      <c r="C38" s="21">
        <v>0</v>
      </c>
      <c r="D38" s="21">
        <v>0</v>
      </c>
      <c r="E38" s="21">
        <v>0</v>
      </c>
      <c r="F38" s="18"/>
      <c r="H38" s="5" t="s">
        <v>32</v>
      </c>
      <c r="I38" s="21">
        <v>0</v>
      </c>
      <c r="J38" s="21">
        <v>0</v>
      </c>
      <c r="K38" s="21">
        <v>0</v>
      </c>
      <c r="L38" s="21">
        <v>0</v>
      </c>
      <c r="M38" s="18"/>
      <c r="O38" s="5" t="s">
        <v>32</v>
      </c>
      <c r="P38" s="21">
        <v>0</v>
      </c>
      <c r="Q38" s="21">
        <v>0</v>
      </c>
      <c r="R38" s="21">
        <v>0</v>
      </c>
      <c r="S38" s="21">
        <v>0</v>
      </c>
      <c r="T38" s="18"/>
    </row>
    <row r="39" spans="1:20" ht="13.5" thickBot="1" x14ac:dyDescent="0.25">
      <c r="A39" s="12" t="s">
        <v>49</v>
      </c>
      <c r="B39" s="13">
        <v>0</v>
      </c>
      <c r="C39" s="13">
        <v>0</v>
      </c>
      <c r="D39" s="13">
        <v>0</v>
      </c>
      <c r="E39" s="13">
        <v>0</v>
      </c>
      <c r="F39" s="18"/>
      <c r="H39" s="12" t="s">
        <v>49</v>
      </c>
      <c r="I39" s="13">
        <v>0</v>
      </c>
      <c r="J39" s="13">
        <v>0</v>
      </c>
      <c r="K39" s="13">
        <v>0</v>
      </c>
      <c r="L39" s="13">
        <v>0</v>
      </c>
      <c r="M39" s="18"/>
      <c r="O39" s="12" t="s">
        <v>49</v>
      </c>
      <c r="P39" s="13">
        <v>0</v>
      </c>
      <c r="Q39" s="13">
        <v>0</v>
      </c>
      <c r="R39" s="13">
        <v>0</v>
      </c>
      <c r="S39" s="13">
        <v>0</v>
      </c>
      <c r="T39" s="18"/>
    </row>
    <row r="40" spans="1:20" s="3" customFormat="1" ht="13.5" thickTop="1" x14ac:dyDescent="0.2">
      <c r="A40" s="18"/>
      <c r="B40" s="25">
        <f>SUM(B24:B39)</f>
        <v>0</v>
      </c>
      <c r="C40" s="25">
        <f>SUM(C24:C39)</f>
        <v>0</v>
      </c>
      <c r="D40" s="25">
        <f>SUM(D24:D39)</f>
        <v>0</v>
      </c>
      <c r="E40" s="25">
        <f>SUM(E24:E39)</f>
        <v>0</v>
      </c>
      <c r="F40" s="19"/>
      <c r="H40" s="18"/>
      <c r="I40" s="25">
        <f>SUM(I24:I39)</f>
        <v>0</v>
      </c>
      <c r="J40" s="25">
        <f>SUM(J24:J39)</f>
        <v>0</v>
      </c>
      <c r="K40" s="25">
        <f>SUM(K24:K39)</f>
        <v>0</v>
      </c>
      <c r="L40" s="25">
        <f>SUM(L24:L39)</f>
        <v>0</v>
      </c>
      <c r="M40" s="19"/>
      <c r="O40" s="18"/>
      <c r="P40" s="25">
        <f>SUM(P24:P39)</f>
        <v>0</v>
      </c>
      <c r="Q40" s="25">
        <f>SUM(Q24:Q39)</f>
        <v>0</v>
      </c>
      <c r="R40" s="25">
        <f>SUM(R24:R39)</f>
        <v>0</v>
      </c>
      <c r="S40" s="25">
        <f>SUM(S24:S39)</f>
        <v>0</v>
      </c>
      <c r="T40" s="19"/>
    </row>
    <row r="41" spans="1:20" x14ac:dyDescent="0.2">
      <c r="A41" s="5"/>
      <c r="F41" s="3"/>
      <c r="H41" s="5"/>
      <c r="M41" s="3"/>
      <c r="O41" s="5"/>
      <c r="T41" s="3"/>
    </row>
    <row r="42" spans="1:20" x14ac:dyDescent="0.2">
      <c r="A42" s="5"/>
      <c r="F42" s="3"/>
      <c r="H42" s="5"/>
      <c r="M42" s="3"/>
      <c r="O42" s="5"/>
      <c r="T42" s="3"/>
    </row>
    <row r="43" spans="1:20" ht="13.5" thickBot="1" x14ac:dyDescent="0.25">
      <c r="A43" s="8" t="s">
        <v>55</v>
      </c>
      <c r="B43" s="9" t="s">
        <v>34</v>
      </c>
      <c r="C43" s="9" t="s">
        <v>35</v>
      </c>
      <c r="D43" s="9" t="s">
        <v>36</v>
      </c>
      <c r="E43" s="9" t="s">
        <v>37</v>
      </c>
      <c r="F43" s="18"/>
      <c r="H43" s="8" t="s">
        <v>55</v>
      </c>
      <c r="I43" s="9" t="s">
        <v>34</v>
      </c>
      <c r="J43" s="9" t="s">
        <v>35</v>
      </c>
      <c r="K43" s="9" t="s">
        <v>36</v>
      </c>
      <c r="L43" s="9" t="s">
        <v>37</v>
      </c>
      <c r="M43" s="18"/>
      <c r="O43" s="8" t="s">
        <v>55</v>
      </c>
      <c r="P43" s="9" t="s">
        <v>34</v>
      </c>
      <c r="Q43" s="9" t="s">
        <v>35</v>
      </c>
      <c r="R43" s="9" t="s">
        <v>36</v>
      </c>
      <c r="S43" s="9" t="s">
        <v>37</v>
      </c>
      <c r="T43" s="18"/>
    </row>
    <row r="44" spans="1:20" x14ac:dyDescent="0.2">
      <c r="B44" s="26">
        <f>IF(Information!$C$12="New Alfalfa/Clover",0,IF(Information!$C$12="New Brome",0,IF(Information!$C$12="New Fescue",0,IF(Information!$C$12="New Bermuda",0,IF(Information!$F$20="",30,IF(Information!$F$20&gt;=0,(Information!$F$20*0.3*Information!$B$12)+(3*0.3*(24-Information!$B$12)),""))))))</f>
        <v>30</v>
      </c>
      <c r="C44" s="26">
        <f>IF(Information!$C$13="New Alfalfa/Clover",0,IF(Information!$C$13="New Brome",0,IF(Information!$C$13="New Fescue",0,IF(Information!$C$13="New Bermuda",0,IF(Information!$F$21="",30,IF(Information!$F$21&gt;=0,(Information!$F$21*0.3*Information!$B$13)+(3*0.3*(24-Information!$B$13)),""))))))</f>
        <v>30</v>
      </c>
      <c r="D44" s="26">
        <f>IF(Information!$C$14="New Alfalfa/Clover",0,IF(Information!$C$14="New Brome",0,IF(Information!$C$14="New Fescue",0,IF(Information!$C$14="New Bermuda",0,IF(Information!$F$22="",30,IF(Information!$F$22&gt;=0,(Information!$F$22*0.3*Information!$B$14)+(3*0.3*(24-Information!$B$14)),""))))))</f>
        <v>30</v>
      </c>
      <c r="E44" s="26">
        <f>IF(Information!$C$15="New Alfalfa/Clover",0,IF(Information!$C$15="New Brome",0,IF(Information!$C$15="New Fescue",0,IF(Information!$C$15="New Bermuda",0,IF(Information!$F$23="",30,IF(Information!$F$23&gt;=0,(Information!$F$23*0.3*Information!$B$15)+(3*0.3*(24-Information!$B$15)),""))))))</f>
        <v>30</v>
      </c>
      <c r="F44" s="22"/>
      <c r="I44" s="26">
        <f>IF(Information!$F$12="New Alfalfa/Clover",0,IF(Information!$F$12="New Brome",0,IF(Information!$F$12="New Fescue",0,IF(Information!$F$12="New Bermuda",0,IF(Information!$F$20="",30,IF(Information!$F$20&gt;=0,(Information!$F$20*0.3*Information!$B$12)+(3*0.3*(24-Information!$B$12)),""))))))</f>
        <v>30</v>
      </c>
      <c r="J44" s="26">
        <f>IF(Information!$F$13="New Alfalfa/Clover",0,IF(Information!$F$13="New Brome",0,IF(Information!$F$13="New Fescue",0,IF(Information!$F$13="New Bermuda",0,IF(Information!$F$21="",30,IF(Information!$F$21&gt;=0,(Information!$F$21*0.3*Information!$B$13)+(3*0.3*(24-Information!$B$13)),""))))))</f>
        <v>30</v>
      </c>
      <c r="K44" s="26">
        <f>IF(Information!$F$14="New Alfalfa/Clover",0,IF(Information!$F$14="New Brome",0,IF(Information!$F$14="New Fescue",0,IF(Information!$F$14="New Bermuda",0,IF(Information!$F$22="",30,IF(Information!$F$22&gt;=0,(Information!$F$22*0.3*Information!$B$14)+(3*0.3*(24-Information!$B$14)),""))))))</f>
        <v>30</v>
      </c>
      <c r="L44" s="26">
        <f>IF(Information!$F$15="New Alfalfa/Clover",0,IF(Information!$F$15="New Brome",0,IF(Information!$F$15="New Fescue",0,IF(Information!$F$15="New Bermuda",0,IF(Information!$F$23="",30,IF(Information!$F$23&gt;=0,(Information!$F$23*0.3*Information!$B$15)+(3*0.3*(24-Information!$B$15)),""))))))</f>
        <v>30</v>
      </c>
      <c r="M44" s="22"/>
      <c r="P44" s="26">
        <f>IF(Information!$I$12="New Alfalfa/Clover",0,IF(Information!$I$12="New Brome",0,IF(Information!$I$12="New Fescue",0,IF(Information!$I$12="New Bermuda",0,IF(Information!$F$20="",30,IF(Information!$F$20&gt;=0,(Information!$F$20*0.3*Information!$B$12)+(3*0.3*(24-Information!$B$12)),""))))))</f>
        <v>30</v>
      </c>
      <c r="Q44" s="26">
        <f>IF(Information!$I$13="New Alfalfa/Clover",0,IF(Information!$I$13="New Brome",0,IF(Information!$I$13="New Fescue",0,IF(Information!$I$13="New Bermuda",0,IF(Information!$F$21="",30,IF(Information!$F$21&gt;=0,(Information!$F$21*0.3*Information!$B$13)+(3*0.3*(24-Information!$B$13)),""))))))</f>
        <v>30</v>
      </c>
      <c r="R44" s="26">
        <f>IF(Information!$I$14="New Alfalfa/Clover",0,IF(Information!$I$14="New Brome",0,IF(Information!$I$14="New Fescue",0,IF(Information!$I$14="New Bermuda",0,IF(Information!$F$22="",30,IF(Information!$F$22&gt;=0,(Information!$F$22*0.3*Information!$B$14)+(3*0.3*(24-Information!$B$14)),""))))))</f>
        <v>30</v>
      </c>
      <c r="S44" s="26">
        <f>IF(Information!$I$15="New Alfalfa/Clover",0,IF(Information!$I$15="New Brome",0,IF(Information!$I$15="New Fescue",0,IF(Information!$I$15="New Bermuda",0,IF(Information!$F$23="",30,IF(Information!$F$23&gt;=0,(Information!$F$23*0.3*Information!$B$15)+(3*0.3*(24-Information!$B$15)),""))))))</f>
        <v>30</v>
      </c>
      <c r="T44" s="22"/>
    </row>
    <row r="47" spans="1:20" ht="13.5" thickBot="1" x14ac:dyDescent="0.25">
      <c r="A47" s="8" t="s">
        <v>54</v>
      </c>
      <c r="B47" s="9" t="s">
        <v>50</v>
      </c>
      <c r="C47" s="9" t="s">
        <v>34</v>
      </c>
      <c r="D47" s="9" t="s">
        <v>35</v>
      </c>
      <c r="E47" s="9" t="s">
        <v>36</v>
      </c>
      <c r="F47" s="9" t="s">
        <v>37</v>
      </c>
      <c r="G47" s="18"/>
      <c r="H47" s="8" t="s">
        <v>54</v>
      </c>
      <c r="I47" s="9" t="s">
        <v>50</v>
      </c>
      <c r="J47" s="9" t="s">
        <v>34</v>
      </c>
      <c r="K47" s="9" t="s">
        <v>35</v>
      </c>
      <c r="L47" s="9" t="s">
        <v>36</v>
      </c>
      <c r="M47" s="9" t="s">
        <v>37</v>
      </c>
      <c r="N47" s="18"/>
      <c r="O47" s="8" t="s">
        <v>54</v>
      </c>
      <c r="P47" s="9" t="s">
        <v>50</v>
      </c>
      <c r="Q47" s="9" t="s">
        <v>34</v>
      </c>
      <c r="R47" s="9" t="s">
        <v>35</v>
      </c>
      <c r="S47" s="9" t="s">
        <v>36</v>
      </c>
      <c r="T47" s="9" t="s">
        <v>37</v>
      </c>
    </row>
    <row r="48" spans="1:20" x14ac:dyDescent="0.2">
      <c r="A48" s="5" t="s">
        <v>57</v>
      </c>
      <c r="B48" s="5" t="s">
        <v>30</v>
      </c>
      <c r="C48" s="7">
        <f>IF(AND(Information!$C$12="Corn",Information!$L$12="Corn"),0,0)</f>
        <v>0</v>
      </c>
      <c r="D48" s="7">
        <f>IF(AND(Information!$C$13="Corn",Information!$L$13="Corn"),0,0)</f>
        <v>0</v>
      </c>
      <c r="E48" s="7">
        <f>IF(AND(Information!$C$14="Corn",Information!$L$14="Corn"),0,0)</f>
        <v>0</v>
      </c>
      <c r="F48" s="7">
        <f>IF(AND(Information!$C$15="Corn",Information!$L$15="Corn"),0,0)</f>
        <v>0</v>
      </c>
      <c r="G48" s="17"/>
      <c r="H48" s="5" t="s">
        <v>57</v>
      </c>
      <c r="I48" s="5" t="s">
        <v>30</v>
      </c>
      <c r="J48" s="7">
        <f>IF(AND(Information!$F$12="Corn",Information!$L$12="Corn"),0,0)</f>
        <v>0</v>
      </c>
      <c r="K48" s="7">
        <f>IF(AND(Information!$F$13="Corn",Information!$L$13="Corn"),0,0)</f>
        <v>0</v>
      </c>
      <c r="L48" s="7">
        <f>IF(AND(Information!$F$14="Corn",Information!$L$14="Corn"),0,0)</f>
        <v>0</v>
      </c>
      <c r="M48" s="7">
        <f>IF(AND(Information!$F$15="Corn",Information!$L$15="Corn"),0,0)</f>
        <v>0</v>
      </c>
      <c r="N48" s="17"/>
      <c r="O48" s="5" t="s">
        <v>57</v>
      </c>
      <c r="P48" s="5" t="s">
        <v>30</v>
      </c>
      <c r="Q48" s="7">
        <f>IF(AND(Information!$I$12="Corn",Information!$L$12="Corn"),0,0)</f>
        <v>0</v>
      </c>
      <c r="R48" s="7">
        <f>IF(AND(Information!$I$13="Corn",Information!$L$13="Corn"),0,0)</f>
        <v>0</v>
      </c>
      <c r="S48" s="7">
        <f>IF(AND(Information!$I$14="Corn",Information!$L$14="Corn"),0,0)</f>
        <v>0</v>
      </c>
      <c r="T48" s="7">
        <f>IF(AND(Information!$I$15="Corn",Information!$L$15="Corn"),0,0)</f>
        <v>0</v>
      </c>
    </row>
    <row r="49" spans="1:20" x14ac:dyDescent="0.2">
      <c r="B49" s="5" t="s">
        <v>38</v>
      </c>
      <c r="C49" s="7">
        <f>IF(AND(Information!$C$12="Corn",Information!$L$12="Wheat"),0,0)</f>
        <v>0</v>
      </c>
      <c r="D49" s="7">
        <f>IF(AND(Information!$C$13="Corn",Information!$L$13="Wheat"),0,0)</f>
        <v>0</v>
      </c>
      <c r="E49" s="7">
        <f>IF(AND(Information!$C$14="Corn",Information!$L$14="Wheat"),0,0)</f>
        <v>0</v>
      </c>
      <c r="F49" s="7">
        <f>IF(AND(Information!$C$15="Corn",Information!$L$15="Wheat"),0,0)</f>
        <v>0</v>
      </c>
      <c r="G49" s="17"/>
      <c r="I49" s="5" t="s">
        <v>38</v>
      </c>
      <c r="J49" s="7">
        <f>IF(AND(Information!$F$12="Corn",Information!$L$12="Wheat"),0,0)</f>
        <v>0</v>
      </c>
      <c r="K49" s="7">
        <f>IF(AND(Information!$F$13="Corn",Information!$L$13="Wheat"),0,0)</f>
        <v>0</v>
      </c>
      <c r="L49" s="7">
        <f>IF(AND(Information!$F$14="Corn",Information!$L$14="Wheat"),0,0)</f>
        <v>0</v>
      </c>
      <c r="M49" s="7">
        <f>IF(AND(Information!$F$15="Corn",Information!$L$15="Wheat"),0,0)</f>
        <v>0</v>
      </c>
      <c r="N49" s="17"/>
      <c r="P49" s="5" t="s">
        <v>38</v>
      </c>
      <c r="Q49" s="7">
        <f>IF(AND(Information!$I$12="Corn",Information!$L$12="Wheat"),0,0)</f>
        <v>0</v>
      </c>
      <c r="R49" s="7">
        <f>IF(AND(Information!$I$13="Corn",Information!$L$13="Wheat"),0,0)</f>
        <v>0</v>
      </c>
      <c r="S49" s="7">
        <f>IF(AND(Information!$I$14="Corn",Information!$L$14="Wheat"),0,0)</f>
        <v>0</v>
      </c>
      <c r="T49" s="7">
        <f>IF(AND(Information!$I$15="Corn",Information!$L$15="Wheat"),0,0)</f>
        <v>0</v>
      </c>
    </row>
    <row r="50" spans="1:20" x14ac:dyDescent="0.2">
      <c r="B50" s="5" t="s">
        <v>39</v>
      </c>
      <c r="C50" s="7">
        <f>IF(AND(Information!$C$12="Corn",Information!$L$12="Grain Sorghum"),0,0)</f>
        <v>0</v>
      </c>
      <c r="D50" s="7">
        <f>IF(AND(Information!$C$13="Corn",Information!$L$13="Grain Sorghum"),0,0)</f>
        <v>0</v>
      </c>
      <c r="E50" s="7">
        <f>IF(AND(Information!$C$14="Corn",Information!$L$14="Grain Sorghum"),0,0)</f>
        <v>0</v>
      </c>
      <c r="F50" s="7">
        <f>IF(AND(Information!$C$15="Corn",Information!$L$15="Grain Sorghum"),0,0)</f>
        <v>0</v>
      </c>
      <c r="G50" s="17"/>
      <c r="I50" s="5" t="s">
        <v>39</v>
      </c>
      <c r="J50" s="7">
        <f>IF(AND(Information!$F$12="Corn",Information!$L$12="Grain Sorghum"),0,0)</f>
        <v>0</v>
      </c>
      <c r="K50" s="7">
        <f>IF(AND(Information!$F$13="Corn",Information!$L$13="Grain Sorghum"),0,0)</f>
        <v>0</v>
      </c>
      <c r="L50" s="7">
        <f>IF(AND(Information!$F$14="Corn",Information!$L$14="Grain Sorghum"),0,0)</f>
        <v>0</v>
      </c>
      <c r="M50" s="7">
        <f>IF(AND(Information!$F$15="Corn",Information!$L$15="Grain Sorghum"),0,0)</f>
        <v>0</v>
      </c>
      <c r="N50" s="17"/>
      <c r="P50" s="5" t="s">
        <v>39</v>
      </c>
      <c r="Q50" s="7">
        <f>IF(AND(Information!$I$12="Corn",Information!$L$12="Grain Sorghum"),0,0)</f>
        <v>0</v>
      </c>
      <c r="R50" s="7">
        <f>IF(AND(Information!$I$13="Corn",Information!$L$13="Grain Sorghum"),0,0)</f>
        <v>0</v>
      </c>
      <c r="S50" s="7">
        <f>IF(AND(Information!$I$14="Corn",Information!$L$14="Grain Sorghum"),0,0)</f>
        <v>0</v>
      </c>
      <c r="T50" s="7">
        <f>IF(AND(Information!$I$15="Corn",Information!$L$15="Grain Sorghum"),0,0)</f>
        <v>0</v>
      </c>
    </row>
    <row r="51" spans="1:20" x14ac:dyDescent="0.2">
      <c r="B51" s="5" t="s">
        <v>51</v>
      </c>
      <c r="C51" s="7">
        <f>IF(AND(Information!$C$12="Corn",Information!$L$12="Sunflowers"),0,0)</f>
        <v>0</v>
      </c>
      <c r="D51" s="7">
        <f>IF(AND(Information!$C$13="Corn",Information!$L$13="Sunflowers"),0,0)</f>
        <v>0</v>
      </c>
      <c r="E51" s="7">
        <f>IF(AND(Information!$C$14="Corn",Information!$L$14="Sunflowers"),0,0)</f>
        <v>0</v>
      </c>
      <c r="F51" s="7">
        <f>IF(AND(Information!$C$15="Corn",Information!$L$15="Sunflowers"),0,0)</f>
        <v>0</v>
      </c>
      <c r="G51" s="17"/>
      <c r="I51" s="5" t="s">
        <v>51</v>
      </c>
      <c r="J51" s="7">
        <f>IF(AND(Information!$F$12="Corn",Information!$L$12="Sunflowers"),0,0)</f>
        <v>0</v>
      </c>
      <c r="K51" s="7">
        <f>IF(AND(Information!$F$13="Corn",Information!$L$13="Sunflowers"),0,0)</f>
        <v>0</v>
      </c>
      <c r="L51" s="7">
        <f>IF(AND(Information!$F$14="Corn",Information!$L$14="Sunflowers"),0,0)</f>
        <v>0</v>
      </c>
      <c r="M51" s="7">
        <f>IF(AND(Information!$F$15="Corn",Information!$L$15="Sunflowers"),0,0)</f>
        <v>0</v>
      </c>
      <c r="N51" s="17"/>
      <c r="P51" s="5" t="s">
        <v>51</v>
      </c>
      <c r="Q51" s="7">
        <f>IF(AND(Information!$I$12="Corn",Information!$L$12="Sunflowers"),0,0)</f>
        <v>0</v>
      </c>
      <c r="R51" s="7">
        <f>IF(AND(Information!$I$13="Corn",Information!$L$13="Sunflowers"),0,0)</f>
        <v>0</v>
      </c>
      <c r="S51" s="7">
        <f>IF(AND(Information!$I$14="Corn",Information!$L$14="Sunflowers"),0,0)</f>
        <v>0</v>
      </c>
      <c r="T51" s="7">
        <f>IF(AND(Information!$I$15="Corn",Information!$L$15="Sunflowers"),0,0)</f>
        <v>0</v>
      </c>
    </row>
    <row r="52" spans="1:20" x14ac:dyDescent="0.2">
      <c r="B52" s="14" t="s">
        <v>32</v>
      </c>
      <c r="C52" s="7">
        <f>IF(AND(Information!$C$12="Corn",Information!$L$12="Soybeans"),40,0)</f>
        <v>0</v>
      </c>
      <c r="D52" s="7">
        <f>IF(AND(Information!$C$13="Corn",Information!$L$13="Soybeans"),40,0)</f>
        <v>0</v>
      </c>
      <c r="E52" s="7">
        <f>IF(AND(Information!$C$14="Corn",Information!$L$14="Soybeans"),40,0)</f>
        <v>0</v>
      </c>
      <c r="F52" s="7">
        <f>IF(AND(Information!$C$15="Corn",Information!$L$15="Soybeans"),40,0)</f>
        <v>0</v>
      </c>
      <c r="G52" s="17"/>
      <c r="I52" s="14" t="s">
        <v>32</v>
      </c>
      <c r="J52" s="7">
        <f>IF(AND(Information!$F$12="Corn",Information!$L$12="Soybeans"),40,0)</f>
        <v>0</v>
      </c>
      <c r="K52" s="7">
        <f>IF(AND(Information!$F$13="Corn",Information!$L$13="Soybeans"),40,0)</f>
        <v>0</v>
      </c>
      <c r="L52" s="7">
        <f>IF(AND(Information!$F$14="Corn",Information!$L$14="Soybeans"),40,0)</f>
        <v>0</v>
      </c>
      <c r="M52" s="7">
        <f>IF(AND(Information!$F$15="Corn",Information!$L$15="Soybeans"),40,0)</f>
        <v>0</v>
      </c>
      <c r="N52" s="17"/>
      <c r="P52" s="14" t="s">
        <v>32</v>
      </c>
      <c r="Q52" s="7">
        <f>IF(AND(Information!$I$12="Corn",Information!$L$12="Soybeans"),40,0)</f>
        <v>0</v>
      </c>
      <c r="R52" s="7">
        <f>IF(AND(Information!$I$13="Corn",Information!$L$13="Soybeans"),40,0)</f>
        <v>0</v>
      </c>
      <c r="S52" s="7">
        <f>IF(AND(Information!$I$14="Corn",Information!$L$14="Soybeans"),40,0)</f>
        <v>0</v>
      </c>
      <c r="T52" s="7">
        <f>IF(AND(Information!$I$15="Corn",Information!$L$15="Soybeans"),40,0)</f>
        <v>0</v>
      </c>
    </row>
    <row r="53" spans="1:20" x14ac:dyDescent="0.2">
      <c r="B53" s="5" t="s">
        <v>88</v>
      </c>
      <c r="C53" s="7">
        <f>IF(AND(Information!$C$12="Corn",Information!$L$12="Alfalfa-Excell."),120,0)</f>
        <v>0</v>
      </c>
      <c r="D53" s="7">
        <f>IF(AND(Information!$C$13="Corn",Information!$L$13="Alfalfa-Excell."),120,0)</f>
        <v>0</v>
      </c>
      <c r="E53" s="7">
        <f>IF(AND(Information!$C$14="Corn",Information!$L$14="Alfalfa-Excell."),120,0)</f>
        <v>0</v>
      </c>
      <c r="F53" s="7">
        <f>IF(AND(Information!$C$15="Corn",Information!$L$15="Alfalfa-Excell."),120,0)</f>
        <v>0</v>
      </c>
      <c r="G53" s="17"/>
      <c r="I53" s="5" t="s">
        <v>88</v>
      </c>
      <c r="J53" s="7">
        <f>IF(AND(Information!$F$12="Corn",Information!$L$12="Alfalfa-Excell."),120,0)</f>
        <v>0</v>
      </c>
      <c r="K53" s="7">
        <f>IF(AND(Information!$F$13="Corn",Information!$L$13="Alfalfa-Excell."),120,0)</f>
        <v>0</v>
      </c>
      <c r="L53" s="7">
        <f>IF(AND(Information!$F$14="Corn",Information!$L$14="Alfalfa-Excell."),120,0)</f>
        <v>0</v>
      </c>
      <c r="M53" s="7">
        <f>IF(AND(Information!$F$15="Corn",Information!$L$15="Alfalfa-Excell."),120,0)</f>
        <v>0</v>
      </c>
      <c r="N53" s="17"/>
      <c r="P53" s="5" t="s">
        <v>88</v>
      </c>
      <c r="Q53" s="7">
        <f>IF(AND(Information!$I$12="Corn",Information!$L$12="Alfalfa-Excell."),120,0)</f>
        <v>0</v>
      </c>
      <c r="R53" s="7">
        <f>IF(AND(Information!$I$13="Corn",Information!$L$13="Alfalfa-Excell."),120,0)</f>
        <v>0</v>
      </c>
      <c r="S53" s="7">
        <f>IF(AND(Information!$I$14="Corn",Information!$L$14="Alfalfa-Excell."),120,0)</f>
        <v>0</v>
      </c>
      <c r="T53" s="7">
        <f>IF(AND(Information!$I$15="Corn",Information!$L$15="Alfalfa-Excell."),120,0)</f>
        <v>0</v>
      </c>
    </row>
    <row r="54" spans="1:20" x14ac:dyDescent="0.2">
      <c r="B54" s="5" t="s">
        <v>89</v>
      </c>
      <c r="C54" s="7">
        <f>IF(AND(Information!$C$12="Corn",Information!$L$12="Alfalfa-Good"),80,0)</f>
        <v>0</v>
      </c>
      <c r="D54" s="7">
        <f>IF(AND(Information!$C$13="Corn",Information!$L$13="Alfalfa-Good"),80,0)</f>
        <v>0</v>
      </c>
      <c r="E54" s="7">
        <f>IF(AND(Information!$C$14="Corn",Information!$L$14="Alfalfa-Good"),80,0)</f>
        <v>0</v>
      </c>
      <c r="F54" s="7">
        <f>IF(AND(Information!$C$15="Corn",Information!$L$15="Alfalfa-Good"),80,0)</f>
        <v>0</v>
      </c>
      <c r="G54" s="17"/>
      <c r="I54" s="5" t="s">
        <v>89</v>
      </c>
      <c r="J54" s="7">
        <f>IF(AND(Information!$F$12="Corn",Information!$L$12="Alfalfa-Good"),80,0)</f>
        <v>0</v>
      </c>
      <c r="K54" s="7">
        <f>IF(AND(Information!$F$13="Corn",Information!$L$13="Alfalfa-Good"),80,0)</f>
        <v>0</v>
      </c>
      <c r="L54" s="7">
        <f>IF(AND(Information!$F$14="Corn",Information!$L$14="Alfalfa-Good"),80,0)</f>
        <v>0</v>
      </c>
      <c r="M54" s="7">
        <f>IF(AND(Information!$F$15="Corn",Information!$L$15="Alfalfa-Good"),80,0)</f>
        <v>0</v>
      </c>
      <c r="N54" s="17"/>
      <c r="P54" s="5" t="s">
        <v>89</v>
      </c>
      <c r="Q54" s="7">
        <f>IF(AND(Information!$I$12="Corn",Information!$L$12="Alfalfa-Good"),80,0)</f>
        <v>0</v>
      </c>
      <c r="R54" s="7">
        <f>IF(AND(Information!$I$13="Corn",Information!$L$13="Alfalfa-Good"),80,0)</f>
        <v>0</v>
      </c>
      <c r="S54" s="7">
        <f>IF(AND(Information!$I$14="Corn",Information!$L$14="Alfalfa-Good"),80,0)</f>
        <v>0</v>
      </c>
      <c r="T54" s="7">
        <f>IF(AND(Information!$I$15="Corn",Information!$L$15="Alfalfa-Good"),80,0)</f>
        <v>0</v>
      </c>
    </row>
    <row r="55" spans="1:20" x14ac:dyDescent="0.2">
      <c r="B55" s="5" t="s">
        <v>90</v>
      </c>
      <c r="C55" s="7">
        <f>IF(AND(Information!$C$12="Corn",Information!$L$12="Alfalfa-Fair"),40,0)</f>
        <v>0</v>
      </c>
      <c r="D55" s="7">
        <f>IF(AND(Information!$C$13="Corn",Information!$L$13="Alfalfa-Fair"),40,0)</f>
        <v>0</v>
      </c>
      <c r="E55" s="7">
        <f>IF(AND(Information!$C$14="Corn",Information!$L$14="Alfalfa-Fair"),40,0)</f>
        <v>0</v>
      </c>
      <c r="F55" s="7">
        <f>IF(AND(Information!$C$15="Corn",Information!$L$15="Alfalfa-Fair"),40,0)</f>
        <v>0</v>
      </c>
      <c r="G55" s="17"/>
      <c r="I55" s="5" t="s">
        <v>90</v>
      </c>
      <c r="J55" s="7">
        <f>IF(AND(Information!$F$12="Corn",Information!$L$12="Alfalfa-Fair"),40,0)</f>
        <v>0</v>
      </c>
      <c r="K55" s="7">
        <f>IF(AND(Information!$F$13="Corn",Information!$L$13="Alfalfa-Fair"),40,0)</f>
        <v>0</v>
      </c>
      <c r="L55" s="7">
        <f>IF(AND(Information!$F$14="Corn",Information!$L$14="Alfalfa-Fair"),40,0)</f>
        <v>0</v>
      </c>
      <c r="M55" s="7">
        <f>IF(AND(Information!$F$15="Corn",Information!$L$15="Alfalfa-Fair"),40,0)</f>
        <v>0</v>
      </c>
      <c r="N55" s="17"/>
      <c r="P55" s="5" t="s">
        <v>90</v>
      </c>
      <c r="Q55" s="7">
        <f>IF(AND(Information!$I$12="Corn",Information!$L$12="Alfalfa-Fair"),40,0)</f>
        <v>0</v>
      </c>
      <c r="R55" s="7">
        <f>IF(AND(Information!$I$13="Corn",Information!$L$13="Alfalfa-Fair"),40,0)</f>
        <v>0</v>
      </c>
      <c r="S55" s="7">
        <f>IF(AND(Information!$I$14="Corn",Information!$L$14="Alfalfa-Fair"),40,0)</f>
        <v>0</v>
      </c>
      <c r="T55" s="7">
        <f>IF(AND(Information!$I$15="Corn",Information!$L$15="Alfalfa-Fair"),40,0)</f>
        <v>0</v>
      </c>
    </row>
    <row r="56" spans="1:20" x14ac:dyDescent="0.2">
      <c r="B56" s="5" t="s">
        <v>91</v>
      </c>
      <c r="C56" s="7">
        <f>IF(AND(Information!$C$12="Corn",Information!$L$12="Alfalfa-Poor"),0,0)</f>
        <v>0</v>
      </c>
      <c r="D56" s="7">
        <f>IF(AND(Information!$C$13="Corn",Information!$L$13="Alfalfa-Poor"),0,0)</f>
        <v>0</v>
      </c>
      <c r="E56" s="7">
        <f>IF(AND(Information!$C$14="Corn",Information!$L$14="Alfalfa-Poor"),0,0)</f>
        <v>0</v>
      </c>
      <c r="F56" s="7">
        <f>IF(AND(Information!$C$15="Corn",Information!$L$15="Alfalfa-Poor"),0,0)</f>
        <v>0</v>
      </c>
      <c r="G56" s="17"/>
      <c r="I56" s="5" t="s">
        <v>91</v>
      </c>
      <c r="J56" s="7">
        <f>IF(AND(Information!$F$12="Corn",Information!$L$12="Alfalfa-Poor"),0,0)</f>
        <v>0</v>
      </c>
      <c r="K56" s="7">
        <f>IF(AND(Information!$F$13="Corn",Information!$L$13="Alfalfa-Poor"),0,0)</f>
        <v>0</v>
      </c>
      <c r="L56" s="7">
        <f>IF(AND(Information!$F$14="Corn",Information!$L$14="Alfalfa-Poor"),0,0)</f>
        <v>0</v>
      </c>
      <c r="M56" s="7">
        <f>IF(AND(Information!$F$15="Corn",Information!$L$15="Alfalfa-Poor"),0,0)</f>
        <v>0</v>
      </c>
      <c r="N56" s="17"/>
      <c r="P56" s="5" t="s">
        <v>91</v>
      </c>
      <c r="Q56" s="7">
        <f>IF(AND(Information!$I$12="Corn",Information!$L$12="Alfalfa-Poor"),0,0)</f>
        <v>0</v>
      </c>
      <c r="R56" s="7">
        <f>IF(AND(Information!$I$13="Corn",Information!$L$13="Alfalfa-Poor"),0,0)</f>
        <v>0</v>
      </c>
      <c r="S56" s="7">
        <f>IF(AND(Information!$I$14="Corn",Information!$L$14="Alfalfa-Poor"),0,0)</f>
        <v>0</v>
      </c>
      <c r="T56" s="7">
        <f>IF(AND(Information!$I$15="Corn",Information!$L$15="Alfalfa-Poor"),0,0)</f>
        <v>0</v>
      </c>
    </row>
    <row r="57" spans="1:20" x14ac:dyDescent="0.2">
      <c r="B57" s="5" t="s">
        <v>92</v>
      </c>
      <c r="C57" s="7">
        <f>IF(AND(Information!$C$12="Corn",Information!$L$12="Red Clover-Excell."),80,0)</f>
        <v>0</v>
      </c>
      <c r="D57" s="7">
        <f>IF(AND(Information!$C$13="Corn",Information!$L$13="Red Clover-Excell."),80,0)</f>
        <v>0</v>
      </c>
      <c r="E57" s="7">
        <f>IF(AND(Information!$C$14="Corn",Information!$L$14="Red Clover-Excell."),80,0)</f>
        <v>0</v>
      </c>
      <c r="F57" s="7">
        <f>IF(AND(Information!$C$15="Corn",Information!$L$15="Red Clover-Excell."),80,0)</f>
        <v>0</v>
      </c>
      <c r="G57" s="17"/>
      <c r="I57" s="5" t="s">
        <v>92</v>
      </c>
      <c r="J57" s="7">
        <f>IF(AND(Information!$F$12="Corn",Information!$L$12="Red Clover-Excell."),80,0)</f>
        <v>0</v>
      </c>
      <c r="K57" s="7">
        <f>IF(AND(Information!$F$13="Corn",Information!$L$13="Red Clover-Excell."),80,0)</f>
        <v>0</v>
      </c>
      <c r="L57" s="7">
        <f>IF(AND(Information!$F$14="Corn",Information!$L$14="Red Clover-Excell."),80,0)</f>
        <v>0</v>
      </c>
      <c r="M57" s="7">
        <f>IF(AND(Information!$F$15="Corn",Information!$L$15="Red Clover-Excell."),80,0)</f>
        <v>0</v>
      </c>
      <c r="N57" s="17"/>
      <c r="P57" s="5" t="s">
        <v>92</v>
      </c>
      <c r="Q57" s="7">
        <f>IF(AND(Information!$I$12="Corn",Information!$L$12="Red Clover-Excell."),80,0)</f>
        <v>0</v>
      </c>
      <c r="R57" s="7">
        <f>IF(AND(Information!$I$13="Corn",Information!$L$13="Red Clover-Excell."),80,0)</f>
        <v>0</v>
      </c>
      <c r="S57" s="7">
        <f>IF(AND(Information!$I$14="Corn",Information!$L$14="Red Clover-Excell."),80,0)</f>
        <v>0</v>
      </c>
      <c r="T57" s="7">
        <f>IF(AND(Information!$I$15="Corn",Information!$L$15="Red Clover-Excell."),80,0)</f>
        <v>0</v>
      </c>
    </row>
    <row r="58" spans="1:20" x14ac:dyDescent="0.2">
      <c r="B58" s="5" t="s">
        <v>93</v>
      </c>
      <c r="C58" s="7">
        <f>IF(AND(Information!$C$12="Corn",Information!$L$12="Red Clover-Good"),40,0)</f>
        <v>0</v>
      </c>
      <c r="D58" s="7">
        <f>IF(AND(Information!$C$13="Corn",Information!$L$13="Red Clover-Good"),40,0)</f>
        <v>0</v>
      </c>
      <c r="E58" s="7">
        <f>IF(AND(Information!$C$14="Corn",Information!$L$14="Red Clover-Good"),40,0)</f>
        <v>0</v>
      </c>
      <c r="F58" s="7">
        <f>IF(AND(Information!$C$15="Corn",Information!$L$15="Red Clover-Good"),40,0)</f>
        <v>0</v>
      </c>
      <c r="G58" s="17"/>
      <c r="I58" s="5" t="s">
        <v>93</v>
      </c>
      <c r="J58" s="7">
        <f>IF(AND(Information!$F$12="Corn",Information!$L$12="Red Clover-Good"),40,0)</f>
        <v>0</v>
      </c>
      <c r="K58" s="7">
        <f>IF(AND(Information!$F$13="Corn",Information!$L$13="Red Clover-Good"),40,0)</f>
        <v>0</v>
      </c>
      <c r="L58" s="7">
        <f>IF(AND(Information!$F$14="Corn",Information!$L$14="Red Clover-Good"),40,0)</f>
        <v>0</v>
      </c>
      <c r="M58" s="7">
        <f>IF(AND(Information!$F$15="Corn",Information!$L$15="Red Clover-Good"),40,0)</f>
        <v>0</v>
      </c>
      <c r="N58" s="17"/>
      <c r="P58" s="5" t="s">
        <v>93</v>
      </c>
      <c r="Q58" s="7">
        <f>IF(AND(Information!$I$12="Corn",Information!$L$12="Red Clover-Good"),40,0)</f>
        <v>0</v>
      </c>
      <c r="R58" s="7">
        <f>IF(AND(Information!$I$13="Corn",Information!$L$13="Red Clover-Good"),40,0)</f>
        <v>0</v>
      </c>
      <c r="S58" s="7">
        <f>IF(AND(Information!$I$14="Corn",Information!$L$14="Red Clover-Good"),40,0)</f>
        <v>0</v>
      </c>
      <c r="T58" s="7">
        <f>IF(AND(Information!$I$15="Corn",Information!$L$15="Red Clover-Good"),40,0)</f>
        <v>0</v>
      </c>
    </row>
    <row r="59" spans="1:20" x14ac:dyDescent="0.2">
      <c r="B59" s="5" t="s">
        <v>94</v>
      </c>
      <c r="C59" s="7">
        <f>IF(AND(Information!$C$12="Corn",Information!$L$12="Red Clover-Poor"),0,0)</f>
        <v>0</v>
      </c>
      <c r="D59" s="7">
        <f>IF(AND(Information!$C$13="Corn",Information!$L$13="Red Clover-Poor"),0,0)</f>
        <v>0</v>
      </c>
      <c r="E59" s="7">
        <f>IF(AND(Information!$C$14="Corn",Information!$L$14="Red Clover-Poor"),0,0)</f>
        <v>0</v>
      </c>
      <c r="F59" s="7">
        <f>IF(AND(Information!$C$15="Corn",Information!$L$15="Red Clover-Poor"),0,0)</f>
        <v>0</v>
      </c>
      <c r="G59" s="17"/>
      <c r="I59" s="5" t="s">
        <v>94</v>
      </c>
      <c r="J59" s="7">
        <f>IF(AND(Information!$F$12="Corn",Information!$L$12="Red Clover-Poor"),0,0)</f>
        <v>0</v>
      </c>
      <c r="K59" s="7">
        <f>IF(AND(Information!$F$13="Corn",Information!$L$13="Red Clover-Poor"),0,0)</f>
        <v>0</v>
      </c>
      <c r="L59" s="7">
        <f>IF(AND(Information!$F$14="Corn",Information!$L$14="Red Clover-Poor"),0,0)</f>
        <v>0</v>
      </c>
      <c r="M59" s="7">
        <f>IF(AND(Information!$F$15="Corn",Information!$L$15="Red Clover-Poor"),0,0)</f>
        <v>0</v>
      </c>
      <c r="N59" s="17"/>
      <c r="P59" s="5" t="s">
        <v>94</v>
      </c>
      <c r="Q59" s="7">
        <f>IF(AND(Information!$I$12="Corn",Information!$L$12="Red Clover-Poor"),0,0)</f>
        <v>0</v>
      </c>
      <c r="R59" s="7">
        <f>IF(AND(Information!$I$13="Corn",Information!$L$13="Red Clover-Poor"),0,0)</f>
        <v>0</v>
      </c>
      <c r="S59" s="7">
        <f>IF(AND(Information!$I$14="Corn",Information!$L$14="Red Clover-Poor"),0,0)</f>
        <v>0</v>
      </c>
      <c r="T59" s="7">
        <f>IF(AND(Information!$I$15="Corn",Information!$L$15="Red Clover-Poor"),0,0)</f>
        <v>0</v>
      </c>
    </row>
    <row r="60" spans="1:20" x14ac:dyDescent="0.2">
      <c r="B60" s="5" t="s">
        <v>95</v>
      </c>
      <c r="C60" s="7">
        <f>IF(AND(Information!$C$12="Corn",Information!$L$12="Sweet Clover-Excell."),110,0)</f>
        <v>0</v>
      </c>
      <c r="D60" s="7">
        <f>IF(AND(Information!$C$13="Corn",Information!$L$13="Sweet Clover-Excell."),110,0)</f>
        <v>0</v>
      </c>
      <c r="E60" s="7">
        <f>IF(AND(Information!$C$14="Corn",Information!$L$14="Sweet Clover-Excell."),110,0)</f>
        <v>0</v>
      </c>
      <c r="F60" s="7">
        <f>IF(AND(Information!$C$15="Corn",Information!$L$15="Sweet Clover-Excell."),110,0)</f>
        <v>0</v>
      </c>
      <c r="G60" s="17"/>
      <c r="I60" s="5" t="s">
        <v>95</v>
      </c>
      <c r="J60" s="7">
        <f>IF(AND(Information!$F$12="Corn",Information!$L$12="Sweet Clover-Excell."),110,0)</f>
        <v>0</v>
      </c>
      <c r="K60" s="7">
        <f>IF(AND(Information!$F$13="Corn",Information!$L$13="Sweet Clover-Excell."),110,0)</f>
        <v>0</v>
      </c>
      <c r="L60" s="7">
        <f>IF(AND(Information!$F$14="Corn",Information!$L$14="Sweet Clover-Excell."),110,0)</f>
        <v>0</v>
      </c>
      <c r="M60" s="7">
        <f>IF(AND(Information!$F$15="Corn",Information!$L$15="Sweet Clover-Excell."),110,0)</f>
        <v>0</v>
      </c>
      <c r="N60" s="17"/>
      <c r="P60" s="5" t="s">
        <v>95</v>
      </c>
      <c r="Q60" s="7">
        <f>IF(AND(Information!$I$12="Corn",Information!$L$12="Sweet Clover-Excell."),110,0)</f>
        <v>0</v>
      </c>
      <c r="R60" s="7">
        <f>IF(AND(Information!$I$13="Corn",Information!$L$13="Sweet Clover-Excell."),110,0)</f>
        <v>0</v>
      </c>
      <c r="S60" s="7">
        <f>IF(AND(Information!$I$14="Corn",Information!$L$14="Sweet Clover-Excell."),110,0)</f>
        <v>0</v>
      </c>
      <c r="T60" s="7">
        <f>IF(AND(Information!$I$15="Corn",Information!$L$15="Sweet Clover-Excell."),110,0)</f>
        <v>0</v>
      </c>
    </row>
    <row r="61" spans="1:20" x14ac:dyDescent="0.2">
      <c r="B61" s="5" t="s">
        <v>96</v>
      </c>
      <c r="C61" s="7">
        <f>IF(AND(Information!$C$12="Corn",Information!$L$12="Sweet Clover-Good"),60,0)</f>
        <v>0</v>
      </c>
      <c r="D61" s="7">
        <f>IF(AND(Information!$C$13="Corn",Information!$L$13="Sweet Clover-Good"),60,0)</f>
        <v>0</v>
      </c>
      <c r="E61" s="7">
        <f>IF(AND(Information!$C$14="Corn",Information!$L$14="Sweet Clover-Good"),60,0)</f>
        <v>0</v>
      </c>
      <c r="F61" s="7">
        <f>IF(AND(Information!$C$15="Corn",Information!$L$15="Sweet Clover-Good"),60,0)</f>
        <v>0</v>
      </c>
      <c r="G61" s="17"/>
      <c r="I61" s="5" t="s">
        <v>96</v>
      </c>
      <c r="J61" s="7">
        <f>IF(AND(Information!$F$12="Corn",Information!$L$12="Sweet Clover-Good"),60,0)</f>
        <v>0</v>
      </c>
      <c r="K61" s="7">
        <f>IF(AND(Information!$F$13="Corn",Information!$L$13="Sweet Clover-Good"),60,0)</f>
        <v>0</v>
      </c>
      <c r="L61" s="7">
        <f>IF(AND(Information!$F$14="Corn",Information!$L$14="Sweet Clover-Good"),60,0)</f>
        <v>0</v>
      </c>
      <c r="M61" s="7">
        <f>IF(AND(Information!$F$15="Corn",Information!$L$15="Sweet Clover-Good"),60,0)</f>
        <v>0</v>
      </c>
      <c r="N61" s="17"/>
      <c r="P61" s="5" t="s">
        <v>96</v>
      </c>
      <c r="Q61" s="7">
        <f>IF(AND(Information!$I$12="Corn",Information!$L$12="Sweet Clover-Good"),60,0)</f>
        <v>0</v>
      </c>
      <c r="R61" s="7">
        <f>IF(AND(Information!$I$13="Corn",Information!$L$13="Sweet Clover-Good"),60,0)</f>
        <v>0</v>
      </c>
      <c r="S61" s="7">
        <f>IF(AND(Information!$I$14="Corn",Information!$L$14="Sweet Clover-Good"),60,0)</f>
        <v>0</v>
      </c>
      <c r="T61" s="7">
        <f>IF(AND(Information!$I$15="Corn",Information!$L$15="Sweet Clover-Good"),60,0)</f>
        <v>0</v>
      </c>
    </row>
    <row r="62" spans="1:20" x14ac:dyDescent="0.2">
      <c r="B62" s="5" t="s">
        <v>97</v>
      </c>
      <c r="C62" s="7">
        <f>IF(AND(Information!$C$12="Corn",Information!$L$12="Sweet Clover-Poor"),0,0)</f>
        <v>0</v>
      </c>
      <c r="D62" s="7">
        <f>IF(AND(Information!$C$13="Corn",Information!$L$13="Sweet Clover-Poor"),0,0)</f>
        <v>0</v>
      </c>
      <c r="E62" s="7">
        <f>IF(AND(Information!$C$14="Corn",Information!$L$14="Sweet Clover-Poor"),0,0)</f>
        <v>0</v>
      </c>
      <c r="F62" s="7">
        <f>IF(AND(Information!$C$15="Corn",Information!$L$15="Sweet Clover-Poor"),0,0)</f>
        <v>0</v>
      </c>
      <c r="G62" s="17"/>
      <c r="I62" s="5" t="s">
        <v>97</v>
      </c>
      <c r="J62" s="7">
        <f>IF(AND(Information!$F$12="Corn",Information!$L$12="Sweet Clover-Poor"),0,0)</f>
        <v>0</v>
      </c>
      <c r="K62" s="7">
        <f>IF(AND(Information!$F$13="Corn",Information!$L$13="Sweet Clover-Poor"),0,0)</f>
        <v>0</v>
      </c>
      <c r="L62" s="7">
        <f>IF(AND(Information!$F$14="Corn",Information!$L$14="Sweet Clover-Poor"),0,0)</f>
        <v>0</v>
      </c>
      <c r="M62" s="7">
        <f>IF(AND(Information!$F$15="Corn",Information!$L$15="Sweet Clover-Poor"),0,0)</f>
        <v>0</v>
      </c>
      <c r="N62" s="17"/>
      <c r="P62" s="5" t="s">
        <v>97</v>
      </c>
      <c r="Q62" s="7">
        <f>IF(AND(Information!$I$12="Corn",Information!$L$12="Sweet Clover-Poor"),0,0)</f>
        <v>0</v>
      </c>
      <c r="R62" s="7">
        <f>IF(AND(Information!$I$13="Corn",Information!$L$13="Sweet Clover-Poor"),0,0)</f>
        <v>0</v>
      </c>
      <c r="S62" s="7">
        <f>IF(AND(Information!$I$14="Corn",Information!$L$14="Sweet Clover-Poor"),0,0)</f>
        <v>0</v>
      </c>
      <c r="T62" s="7">
        <f>IF(AND(Information!$I$15="Corn",Information!$L$15="Sweet Clover-Poor"),0,0)</f>
        <v>0</v>
      </c>
    </row>
    <row r="63" spans="1:20" ht="13.5" thickBot="1" x14ac:dyDescent="0.25">
      <c r="A63" s="15"/>
      <c r="B63" s="12" t="s">
        <v>52</v>
      </c>
      <c r="C63" s="16">
        <f>IF(AND(Information!$F$20="",Information!$L$12="Fallow",Information!$C$12="Corn"),20,0)</f>
        <v>0</v>
      </c>
      <c r="D63" s="16">
        <f>IF(AND(Information!$F$21="",Information!$L$13="Fallow",Information!$C$13="Corn"),20,0)</f>
        <v>0</v>
      </c>
      <c r="E63" s="16">
        <f>IF(AND(Information!$F$22="",Information!$L$14="Fallow",Information!$C$14="Corn"),20,0)</f>
        <v>0</v>
      </c>
      <c r="F63" s="16">
        <f>IF(AND(Information!$F$23="",Information!$L$15="Fallow",Information!$C$15="Corn"),20,0)</f>
        <v>0</v>
      </c>
      <c r="G63" s="17"/>
      <c r="H63" s="15"/>
      <c r="I63" s="12" t="s">
        <v>52</v>
      </c>
      <c r="J63" s="16">
        <f>IF(AND(Information!$F$20="",Information!$L$12="Fallow",Information!$F$12="Corn"),20,0)</f>
        <v>0</v>
      </c>
      <c r="K63" s="16">
        <f>IF(AND(Information!$F$21="",Information!$L$13="Fallow",Information!$F$13="Corn"),20,0)</f>
        <v>0</v>
      </c>
      <c r="L63" s="16">
        <f>IF(AND(Information!$F$22="",Information!$L$14="Fallow",Information!$F$14="Corn"),20,0)</f>
        <v>0</v>
      </c>
      <c r="M63" s="16">
        <f>IF(AND(Information!$F$23="",Information!$L$15="Fallow",Information!$F$15="Corn"),20,0)</f>
        <v>0</v>
      </c>
      <c r="N63" s="17"/>
      <c r="O63" s="15"/>
      <c r="P63" s="12" t="s">
        <v>52</v>
      </c>
      <c r="Q63" s="16">
        <f>IF(AND(Information!$F$20="",Information!$L$12="Fallow",Information!$I$12="Corn"),20,0)</f>
        <v>0</v>
      </c>
      <c r="R63" s="16">
        <f>IF(AND(Information!$F$21="",Information!$L$13="Fallow",Information!$I$13="Corn"),20,0)</f>
        <v>0</v>
      </c>
      <c r="S63" s="16">
        <f>IF(AND(Information!$F$22="",Information!$L$14="Fallow",Information!$I$14="Corn"),20,0)</f>
        <v>0</v>
      </c>
      <c r="T63" s="16">
        <f>IF(AND(Information!$F$23="",Information!$L$15="Fallow",Information!$I$15="Corn"),20,0)</f>
        <v>0</v>
      </c>
    </row>
    <row r="64" spans="1:20" ht="13.5" thickTop="1" x14ac:dyDescent="0.2">
      <c r="B64" s="29" t="s">
        <v>68</v>
      </c>
      <c r="C64" s="24">
        <f>SUM(C48:C63)</f>
        <v>0</v>
      </c>
      <c r="D64" s="24">
        <f>SUM(D48:D63)</f>
        <v>0</v>
      </c>
      <c r="E64" s="24">
        <f>SUM(E48:E63)</f>
        <v>0</v>
      </c>
      <c r="F64" s="24">
        <f>SUM(F48:F63)</f>
        <v>0</v>
      </c>
      <c r="G64" s="19"/>
      <c r="I64" s="29" t="s">
        <v>68</v>
      </c>
      <c r="J64" s="24">
        <f>SUM(J48:J63)</f>
        <v>0</v>
      </c>
      <c r="K64" s="24">
        <f>SUM(K48:K63)</f>
        <v>0</v>
      </c>
      <c r="L64" s="24">
        <f>SUM(L48:L63)</f>
        <v>0</v>
      </c>
      <c r="M64" s="24">
        <f>SUM(M48:M63)</f>
        <v>0</v>
      </c>
      <c r="N64" s="19"/>
      <c r="P64" s="29" t="s">
        <v>68</v>
      </c>
      <c r="Q64" s="24">
        <f>SUM(Q48:Q63)</f>
        <v>0</v>
      </c>
      <c r="R64" s="24">
        <f>SUM(R48:R63)</f>
        <v>0</v>
      </c>
      <c r="S64" s="24">
        <f>SUM(S48:S63)</f>
        <v>0</v>
      </c>
      <c r="T64" s="24">
        <f>SUM(T48:T63)</f>
        <v>0</v>
      </c>
    </row>
    <row r="66" spans="1:20" ht="13.5" thickBot="1" x14ac:dyDescent="0.25">
      <c r="A66" s="8" t="s">
        <v>54</v>
      </c>
      <c r="B66" s="9" t="s">
        <v>50</v>
      </c>
      <c r="C66" s="9" t="s">
        <v>34</v>
      </c>
      <c r="D66" s="9" t="s">
        <v>35</v>
      </c>
      <c r="E66" s="9" t="s">
        <v>36</v>
      </c>
      <c r="F66" s="9" t="s">
        <v>37</v>
      </c>
      <c r="H66" s="8" t="s">
        <v>54</v>
      </c>
      <c r="I66" s="9" t="s">
        <v>50</v>
      </c>
      <c r="J66" s="9" t="s">
        <v>34</v>
      </c>
      <c r="K66" s="9" t="s">
        <v>35</v>
      </c>
      <c r="L66" s="9" t="s">
        <v>36</v>
      </c>
      <c r="M66" s="9" t="s">
        <v>37</v>
      </c>
      <c r="O66" s="8" t="s">
        <v>54</v>
      </c>
      <c r="P66" s="9" t="s">
        <v>50</v>
      </c>
      <c r="Q66" s="9" t="s">
        <v>34</v>
      </c>
      <c r="R66" s="9" t="s">
        <v>35</v>
      </c>
      <c r="S66" s="9" t="s">
        <v>36</v>
      </c>
      <c r="T66" s="9" t="s">
        <v>37</v>
      </c>
    </row>
    <row r="67" spans="1:20" x14ac:dyDescent="0.2">
      <c r="A67" s="5" t="s">
        <v>58</v>
      </c>
      <c r="B67" s="5" t="s">
        <v>30</v>
      </c>
      <c r="C67" s="7">
        <f>IF(AND(Information!$C$12="Grain Sorghum",Information!$L$12="Corn"),0,0)</f>
        <v>0</v>
      </c>
      <c r="D67" s="7">
        <f>IF(AND(Information!$C$13="Grain Sorghum",Information!$L$13="Corn"),0,0)</f>
        <v>0</v>
      </c>
      <c r="E67" s="7">
        <f>IF(AND(Information!$C$14="Grain Sorghum",Information!$L$14="Corn"),0,0)</f>
        <v>0</v>
      </c>
      <c r="F67" s="7">
        <f>IF(AND(Information!$C$15="Grain Sorghum",Information!$L$15="Corn"),0,0)</f>
        <v>0</v>
      </c>
      <c r="H67" s="5" t="s">
        <v>58</v>
      </c>
      <c r="I67" s="5" t="s">
        <v>30</v>
      </c>
      <c r="J67" s="7">
        <f>IF(AND(Information!$F$12="Grain Sorghum",Information!$L$12="Corn"),0,0)</f>
        <v>0</v>
      </c>
      <c r="K67" s="7">
        <f>IF(AND(Information!$F$13="Grain Sorghum",Information!$L$13="Corn"),0,0)</f>
        <v>0</v>
      </c>
      <c r="L67" s="7">
        <f>IF(AND(Information!$F$14="Grain Sorghum",Information!$L$14="Corn"),0,0)</f>
        <v>0</v>
      </c>
      <c r="M67" s="7">
        <f>IF(AND(Information!$F$15="Grain Sorghum",Information!$L$15="Corn"),0,0)</f>
        <v>0</v>
      </c>
      <c r="O67" s="5" t="s">
        <v>58</v>
      </c>
      <c r="P67" s="5" t="s">
        <v>30</v>
      </c>
      <c r="Q67" s="7">
        <f>IF(AND(Information!$I$12="Grain Sorghum",Information!$L$12="Corn"),0,0)</f>
        <v>0</v>
      </c>
      <c r="R67" s="7">
        <f>IF(AND(Information!$I$13="Grain Sorghum",Information!$L$13="Corn"),0,0)</f>
        <v>0</v>
      </c>
      <c r="S67" s="7">
        <f>IF(AND(Information!$I$14="Grain Sorghum",Information!$L$14="Corn"),0,0)</f>
        <v>0</v>
      </c>
      <c r="T67" s="7">
        <f>IF(AND(Information!$I$15="Grain Sorghum",Information!$L$15="Corn"),0,0)</f>
        <v>0</v>
      </c>
    </row>
    <row r="68" spans="1:20" x14ac:dyDescent="0.2">
      <c r="B68" s="5" t="s">
        <v>38</v>
      </c>
      <c r="C68" s="7">
        <f>IF(AND(Information!$C$12="Grain Sorghum",Information!$L$12="Wheat"),0,0)</f>
        <v>0</v>
      </c>
      <c r="D68" s="7">
        <f>IF(AND(Information!$C$13="Grain Sorghum",Information!$L$13="Wheat"),0,0)</f>
        <v>0</v>
      </c>
      <c r="E68" s="7">
        <f>IF(AND(Information!$C$14="Grain Sorghum",Information!$L$14="Wheat"),0,0)</f>
        <v>0</v>
      </c>
      <c r="F68" s="7">
        <f>IF(AND(Information!$C$15="Grain Sorghum",Information!$L$15="Wheat"),0,0)</f>
        <v>0</v>
      </c>
      <c r="I68" s="5" t="s">
        <v>38</v>
      </c>
      <c r="J68" s="7">
        <f>IF(AND(Information!$F$12="Grain Sorghum",Information!$L$12="Wheat"),0,0)</f>
        <v>0</v>
      </c>
      <c r="K68" s="7">
        <f>IF(AND(Information!$F$13="Grain Sorghum",Information!$L$13="Wheat"),0,0)</f>
        <v>0</v>
      </c>
      <c r="L68" s="7">
        <f>IF(AND(Information!$F$14="Grain Sorghum",Information!$L$14="Wheat"),0,0)</f>
        <v>0</v>
      </c>
      <c r="M68" s="7">
        <f>IF(AND(Information!$F$15="Grain Sorghum",Information!$L$15="Wheat"),0,0)</f>
        <v>0</v>
      </c>
      <c r="P68" s="5" t="s">
        <v>38</v>
      </c>
      <c r="Q68" s="7">
        <f>IF(AND(Information!$I$12="Grain Sorghum",Information!$L$12="Wheat"),0,0)</f>
        <v>0</v>
      </c>
      <c r="R68" s="7">
        <f>IF(AND(Information!$I$13="Grain Sorghum",Information!$L$13="Wheat"),0,0)</f>
        <v>0</v>
      </c>
      <c r="S68" s="7">
        <f>IF(AND(Information!$I$14="Grain Sorghum",Information!$L$14="Wheat"),0,0)</f>
        <v>0</v>
      </c>
      <c r="T68" s="7">
        <f>IF(AND(Information!$I$15="Grain Sorghum",Information!$L$15="Wheat"),0,0)</f>
        <v>0</v>
      </c>
    </row>
    <row r="69" spans="1:20" x14ac:dyDescent="0.2">
      <c r="B69" s="5" t="s">
        <v>39</v>
      </c>
      <c r="C69" s="7">
        <f>IF(AND(Information!$C$12="Grain Sorghum",Information!$L$12="Grain Sorghum"),0,0)</f>
        <v>0</v>
      </c>
      <c r="D69" s="7">
        <f>IF(AND(Information!$C$13="Grain Sorghum",Information!$L$13="Grain Sorghum"),0,0)</f>
        <v>0</v>
      </c>
      <c r="E69" s="7">
        <f>IF(AND(Information!$C$14="Grain Sorghum",Information!$L$14="Grain Sorghum"),0,0)</f>
        <v>0</v>
      </c>
      <c r="F69" s="7">
        <f>IF(AND(Information!$C$15="Grain Sorghum",Information!$L$15="Grain Sorghum"),0,0)</f>
        <v>0</v>
      </c>
      <c r="I69" s="5" t="s">
        <v>39</v>
      </c>
      <c r="J69" s="7">
        <f>IF(AND(Information!$F$12="Grain Sorghum",Information!$L$12="Grain Sorghum"),0,0)</f>
        <v>0</v>
      </c>
      <c r="K69" s="7">
        <f>IF(AND(Information!$F$13="Grain Sorghum",Information!$L$13="Grain Sorghum"),0,0)</f>
        <v>0</v>
      </c>
      <c r="L69" s="7">
        <f>IF(AND(Information!$F$14="Grain Sorghum",Information!$L$14="Grain Sorghum"),0,0)</f>
        <v>0</v>
      </c>
      <c r="M69" s="7">
        <f>IF(AND(Information!$F$15="Grain Sorghum",Information!$L$15="Grain Sorghum"),0,0)</f>
        <v>0</v>
      </c>
      <c r="P69" s="5" t="s">
        <v>39</v>
      </c>
      <c r="Q69" s="7">
        <f>IF(AND(Information!$I$12="Grain Sorghum",Information!$L$12="Grain Sorghum"),0,0)</f>
        <v>0</v>
      </c>
      <c r="R69" s="7">
        <f>IF(AND(Information!$I$13="Grain Sorghum",Information!$L$13="Grain Sorghum"),0,0)</f>
        <v>0</v>
      </c>
      <c r="S69" s="7">
        <f>IF(AND(Information!$I$14="Grain Sorghum",Information!$L$14="Grain Sorghum"),0,0)</f>
        <v>0</v>
      </c>
      <c r="T69" s="7">
        <f>IF(AND(Information!$I$15="Grain Sorghum",Information!$L$15="Grain Sorghum"),0,0)</f>
        <v>0</v>
      </c>
    </row>
    <row r="70" spans="1:20" x14ac:dyDescent="0.2">
      <c r="B70" s="5" t="s">
        <v>51</v>
      </c>
      <c r="C70" s="7">
        <f>IF(AND(Information!$C$12="Grain Sorghum",Information!$L$12="Sunflowers"),0,0)</f>
        <v>0</v>
      </c>
      <c r="D70" s="7">
        <f>IF(AND(Information!$C$13="Grain Sorghum",Information!$L$13="Sunflowers"),0,0)</f>
        <v>0</v>
      </c>
      <c r="E70" s="7">
        <f>IF(AND(Information!$C$14="Grain Sorghum",Information!$L$14="Sunflowers"),0,0)</f>
        <v>0</v>
      </c>
      <c r="F70" s="7">
        <f>IF(AND(Information!$C$15="Grain Sorghum",Information!$L$15="Sunflowers"),0,0)</f>
        <v>0</v>
      </c>
      <c r="I70" s="5" t="s">
        <v>51</v>
      </c>
      <c r="J70" s="7">
        <f>IF(AND(Information!$F$12="Grain Sorghum",Information!$L$12="Sunflowers"),0,0)</f>
        <v>0</v>
      </c>
      <c r="K70" s="7">
        <f>IF(AND(Information!$F$13="Grain Sorghum",Information!$L$13="Sunflowers"),0,0)</f>
        <v>0</v>
      </c>
      <c r="L70" s="7">
        <f>IF(AND(Information!$F$14="Grain Sorghum",Information!$L$14="Sunflowers"),0,0)</f>
        <v>0</v>
      </c>
      <c r="M70" s="7">
        <f>IF(AND(Information!$F$15="Grain Sorghum",Information!$L$15="Sunflowers"),0,0)</f>
        <v>0</v>
      </c>
      <c r="P70" s="5" t="s">
        <v>51</v>
      </c>
      <c r="Q70" s="7">
        <f>IF(AND(Information!$I$12="Grain Sorghum",Information!$L$12="Sunflowers"),0,0)</f>
        <v>0</v>
      </c>
      <c r="R70" s="7">
        <f>IF(AND(Information!$I$13="Grain Sorghum",Information!$L$13="Sunflowers"),0,0)</f>
        <v>0</v>
      </c>
      <c r="S70" s="7">
        <f>IF(AND(Information!$I$14="Grain Sorghum",Information!$L$14="Sunflowers"),0,0)</f>
        <v>0</v>
      </c>
      <c r="T70" s="7">
        <f>IF(AND(Information!$I$15="Grain Sorghum",Information!$L$15="Sunflowers"),0,0)</f>
        <v>0</v>
      </c>
    </row>
    <row r="71" spans="1:20" x14ac:dyDescent="0.2">
      <c r="B71" s="14" t="s">
        <v>32</v>
      </c>
      <c r="C71" s="7">
        <f>IF(AND(Information!$C$12="Grain Sorghum",Information!$L$12="Soybeans"),40,0)</f>
        <v>0</v>
      </c>
      <c r="D71" s="7">
        <f>IF(AND(Information!$C$13="Grain Sorghum",Information!$L$13="Soybeans"),40,0)</f>
        <v>0</v>
      </c>
      <c r="E71" s="7">
        <f>IF(AND(Information!$C$14="Grain Sorghum",Information!$L$14="Soybeans"),40,0)</f>
        <v>0</v>
      </c>
      <c r="F71" s="7">
        <f>IF(AND(Information!$C$15="Grain Sorghum",Information!$L$15="Soybeans"),40,0)</f>
        <v>0</v>
      </c>
      <c r="I71" s="14" t="s">
        <v>32</v>
      </c>
      <c r="J71" s="7">
        <f>IF(AND(Information!$F$12="Grain Sorghum",Information!$L$12="Soybeans"),40,0)</f>
        <v>0</v>
      </c>
      <c r="K71" s="7">
        <f>IF(AND(Information!$F$13="Grain Sorghum",Information!$L$13="Soybeans"),40,0)</f>
        <v>0</v>
      </c>
      <c r="L71" s="7">
        <f>IF(AND(Information!$F$14="Grain Sorghum",Information!$L$14="Soybeans"),40,0)</f>
        <v>0</v>
      </c>
      <c r="M71" s="7">
        <f>IF(AND(Information!$F$15="Grain Sorghum",Information!$L$15="Soybeans"),40,0)</f>
        <v>0</v>
      </c>
      <c r="P71" s="14" t="s">
        <v>32</v>
      </c>
      <c r="Q71" s="7">
        <f>IF(AND(Information!$I$12="Grain Sorghum",Information!$L$12="Soybeans"),40,0)</f>
        <v>0</v>
      </c>
      <c r="R71" s="7">
        <f>IF(AND(Information!$I$13="Grain Sorghum",Information!$L$13="Soybeans"),40,0)</f>
        <v>0</v>
      </c>
      <c r="S71" s="7">
        <f>IF(AND(Information!$I$14="Grain Sorghum",Information!$L$14="Soybeans"),40,0)</f>
        <v>0</v>
      </c>
      <c r="T71" s="7">
        <f>IF(AND(Information!$I$15="Grain Sorghum",Information!$L$15="Soybeans"),40,0)</f>
        <v>0</v>
      </c>
    </row>
    <row r="72" spans="1:20" x14ac:dyDescent="0.2">
      <c r="B72" s="5" t="s">
        <v>88</v>
      </c>
      <c r="C72" s="7">
        <f>IF(AND(Information!$C$12="Grain Sorghum",Information!$L$12="Alfalfa-Excell."),120,0)</f>
        <v>0</v>
      </c>
      <c r="D72" s="7">
        <f>IF(AND(Information!$C$13="Grain Sorghum",Information!$L$13="Alfalfa-Excell."),120,0)</f>
        <v>0</v>
      </c>
      <c r="E72" s="7">
        <f>IF(AND(Information!$C$14="Grain Sorghum",Information!$L$14="Alfalfa-Excell."),120,0)</f>
        <v>0</v>
      </c>
      <c r="F72" s="7">
        <f>IF(AND(Information!$C$15="Grain Sorghum",Information!$L$15="Alfalfa-Excell."),120,0)</f>
        <v>0</v>
      </c>
      <c r="I72" s="5" t="s">
        <v>88</v>
      </c>
      <c r="J72" s="7">
        <f>IF(AND(Information!$F$12="Grain Sorghum",Information!$L$12="Alfalfa-Excell."),120,0)</f>
        <v>0</v>
      </c>
      <c r="K72" s="7">
        <f>IF(AND(Information!$F$13="Grain Sorghum",Information!$L$13="Alfalfa-Excell."),120,0)</f>
        <v>0</v>
      </c>
      <c r="L72" s="7">
        <f>IF(AND(Information!$F$14="Grain Sorghum",Information!$L$14="Alfalfa-Excell."),120,0)</f>
        <v>0</v>
      </c>
      <c r="M72" s="7">
        <f>IF(AND(Information!$F$15="Grain Sorghum",Information!$L$15="Alfalfa-Excell."),120,0)</f>
        <v>0</v>
      </c>
      <c r="P72" s="5" t="s">
        <v>88</v>
      </c>
      <c r="Q72" s="7">
        <f>IF(AND(Information!$I$12="Grain Sorghum",Information!$L$12="Alfalfa-Excell."),120,0)</f>
        <v>0</v>
      </c>
      <c r="R72" s="7">
        <f>IF(AND(Information!$I$13="Grain Sorghum",Information!$L$13="Alfalfa-Excell."),120,0)</f>
        <v>0</v>
      </c>
      <c r="S72" s="7">
        <f>IF(AND(Information!$I$14="Grain Sorghum",Information!$L$14="Alfalfa-Excell."),120,0)</f>
        <v>0</v>
      </c>
      <c r="T72" s="7">
        <f>IF(AND(Information!$I$15="Grain Sorghum",Information!$L$15="Alfalfa-Excell."),120,0)</f>
        <v>0</v>
      </c>
    </row>
    <row r="73" spans="1:20" x14ac:dyDescent="0.2">
      <c r="B73" s="5" t="s">
        <v>89</v>
      </c>
      <c r="C73" s="7">
        <f>IF(AND(Information!$C$12="Grain Sorghum",Information!$L$12="Alfalfa-Good"),80,0)</f>
        <v>0</v>
      </c>
      <c r="D73" s="7">
        <f>IF(AND(Information!$C$13="Grain Sorghum",Information!$L$13="Alfalfa-Good"),80,0)</f>
        <v>0</v>
      </c>
      <c r="E73" s="7">
        <f>IF(AND(Information!$C$14="Grain Sorghum",Information!$L$14="Alfalfa-Good"),80,0)</f>
        <v>0</v>
      </c>
      <c r="F73" s="7">
        <f>IF(AND(Information!$C$15="Grain Sorghum",Information!$L$15="Alfalfa-Good"),80,0)</f>
        <v>0</v>
      </c>
      <c r="I73" s="5" t="s">
        <v>89</v>
      </c>
      <c r="J73" s="7">
        <f>IF(AND(Information!$F$12="Grain Sorghum",Information!$L$12="Alfalfa-Good"),80,0)</f>
        <v>0</v>
      </c>
      <c r="K73" s="7">
        <f>IF(AND(Information!$F$13="Grain Sorghum",Information!$L$13="Alfalfa-Good"),80,0)</f>
        <v>0</v>
      </c>
      <c r="L73" s="7">
        <f>IF(AND(Information!$F$14="Grain Sorghum",Information!$L$14="Alfalfa-Good"),80,0)</f>
        <v>0</v>
      </c>
      <c r="M73" s="7">
        <f>IF(AND(Information!$F$15="Grain Sorghum",Information!$L$15="Alfalfa-Good"),80,0)</f>
        <v>0</v>
      </c>
      <c r="P73" s="5" t="s">
        <v>89</v>
      </c>
      <c r="Q73" s="7">
        <f>IF(AND(Information!$I$12="Grain Sorghum",Information!$L$12="Alfalfa-Good"),80,0)</f>
        <v>0</v>
      </c>
      <c r="R73" s="7">
        <f>IF(AND(Information!$I$13="Grain Sorghum",Information!$L$13="Alfalfa-Good"),80,0)</f>
        <v>0</v>
      </c>
      <c r="S73" s="7">
        <f>IF(AND(Information!$I$14="Grain Sorghum",Information!$L$14="Alfalfa-Good"),80,0)</f>
        <v>0</v>
      </c>
      <c r="T73" s="7">
        <f>IF(AND(Information!$I$15="Grain Sorghum",Information!$L$15="Alfalfa-Good"),80,0)</f>
        <v>0</v>
      </c>
    </row>
    <row r="74" spans="1:20" x14ac:dyDescent="0.2">
      <c r="B74" s="5" t="s">
        <v>90</v>
      </c>
      <c r="C74" s="7">
        <f>IF(AND(Information!$C$12="Grain Sorghum",Information!$L$12="Alfalfa-Fair"),40,0)</f>
        <v>0</v>
      </c>
      <c r="D74" s="7">
        <f>IF(AND(Information!$C$13="Grain Sorghum",Information!$L$13="Alfalfa-Fair"),40,0)</f>
        <v>0</v>
      </c>
      <c r="E74" s="7">
        <f>IF(AND(Information!$C$14="Grain Sorghum",Information!$L$14="Alfalfa-Fair"),40,0)</f>
        <v>0</v>
      </c>
      <c r="F74" s="7">
        <f>IF(AND(Information!$C$15="Grain Sorghum",Information!$L$15="Alfalfa-Fair"),40,0)</f>
        <v>0</v>
      </c>
      <c r="I74" s="5" t="s">
        <v>90</v>
      </c>
      <c r="J74" s="7">
        <f>IF(AND(Information!$F$12="Grain Sorghum",Information!$L$12="Alfalfa-Fair"),40,0)</f>
        <v>0</v>
      </c>
      <c r="K74" s="7">
        <f>IF(AND(Information!$F$13="Grain Sorghum",Information!$L$13="Alfalfa-Fair"),40,0)</f>
        <v>0</v>
      </c>
      <c r="L74" s="7">
        <f>IF(AND(Information!$F$14="Grain Sorghum",Information!$L$14="Alfalfa-Fair"),40,0)</f>
        <v>0</v>
      </c>
      <c r="M74" s="7">
        <f>IF(AND(Information!$F$15="Grain Sorghum",Information!$L$15="Alfalfa-Fair"),40,0)</f>
        <v>0</v>
      </c>
      <c r="P74" s="5" t="s">
        <v>90</v>
      </c>
      <c r="Q74" s="7">
        <f>IF(AND(Information!$I$12="Grain Sorghum",Information!$L$12="Alfalfa-Fair"),40,0)</f>
        <v>0</v>
      </c>
      <c r="R74" s="7">
        <f>IF(AND(Information!$I$13="Grain Sorghum",Information!$L$13="Alfalfa-Fair"),40,0)</f>
        <v>0</v>
      </c>
      <c r="S74" s="7">
        <f>IF(AND(Information!$I$14="Grain Sorghum",Information!$L$14="Alfalfa-Fair"),40,0)</f>
        <v>0</v>
      </c>
      <c r="T74" s="7">
        <f>IF(AND(Information!$I$15="Grain Sorghum",Information!$L$15="Alfalfa-Fair"),40,0)</f>
        <v>0</v>
      </c>
    </row>
    <row r="75" spans="1:20" x14ac:dyDescent="0.2">
      <c r="B75" s="5" t="s">
        <v>91</v>
      </c>
      <c r="C75" s="7">
        <f>IF(AND(Information!$C$12="Grain Sorghum",Information!$L$12="Alfalfa-Poor"),0,0)</f>
        <v>0</v>
      </c>
      <c r="D75" s="7">
        <f>IF(AND(Information!$C$13="Grain Sorghum",Information!$L$13="Alfalfa-Poor"),0,0)</f>
        <v>0</v>
      </c>
      <c r="E75" s="7">
        <f>IF(AND(Information!$C$14="Grain Sorghum",Information!$L$14="Alfalfa-Poor"),0,0)</f>
        <v>0</v>
      </c>
      <c r="F75" s="7">
        <f>IF(AND(Information!$C$15="Grain Sorghum",Information!$L$15="Alfalfa-Poor"),0,0)</f>
        <v>0</v>
      </c>
      <c r="I75" s="5" t="s">
        <v>91</v>
      </c>
      <c r="J75" s="7">
        <f>IF(AND(Information!$F$12="Grain Sorghum",Information!$L$12="Alfalfa-Poor"),0,0)</f>
        <v>0</v>
      </c>
      <c r="K75" s="7">
        <f>IF(AND(Information!$F$13="Grain Sorghum",Information!$L$13="Alfalfa-Poor"),0,0)</f>
        <v>0</v>
      </c>
      <c r="L75" s="7">
        <f>IF(AND(Information!$F$14="Grain Sorghum",Information!$L$14="Alfalfa-Poor"),0,0)</f>
        <v>0</v>
      </c>
      <c r="M75" s="7">
        <f>IF(AND(Information!$F$15="Grain Sorghum",Information!$L$15="Alfalfa-Poor"),0,0)</f>
        <v>0</v>
      </c>
      <c r="P75" s="5" t="s">
        <v>91</v>
      </c>
      <c r="Q75" s="7">
        <f>IF(AND(Information!$I$12="Grain Sorghum",Information!$L$12="Alfalfa-Poor"),0,0)</f>
        <v>0</v>
      </c>
      <c r="R75" s="7">
        <f>IF(AND(Information!$I$13="Grain Sorghum",Information!$L$13="Alfalfa-Poor"),0,0)</f>
        <v>0</v>
      </c>
      <c r="S75" s="7">
        <f>IF(AND(Information!$I$14="Grain Sorghum",Information!$L$14="Alfalfa-Poor"),0,0)</f>
        <v>0</v>
      </c>
      <c r="T75" s="7">
        <f>IF(AND(Information!$I$15="Grain Sorghum",Information!$L$15="Alfalfa-Poor"),0,0)</f>
        <v>0</v>
      </c>
    </row>
    <row r="76" spans="1:20" x14ac:dyDescent="0.2">
      <c r="B76" s="5" t="s">
        <v>92</v>
      </c>
      <c r="C76" s="7">
        <f>IF(AND(Information!$C$12="Grain Sorghum",Information!$L$12="Red Clover-Excell."),80,0)</f>
        <v>0</v>
      </c>
      <c r="D76" s="7">
        <f>IF(AND(Information!$C$13="Grain Sorghum",Information!$L$13="Red Clover-Excell."),80,0)</f>
        <v>0</v>
      </c>
      <c r="E76" s="7">
        <f>IF(AND(Information!$C$14="Grain Sorghum",Information!$L$14="Red Clover-Excell."),80,0)</f>
        <v>0</v>
      </c>
      <c r="F76" s="7">
        <f>IF(AND(Information!$C$15="Grain Sorghum",Information!$L$15="Red Clover-Excell."),80,0)</f>
        <v>0</v>
      </c>
      <c r="I76" s="5" t="s">
        <v>92</v>
      </c>
      <c r="J76" s="7">
        <f>IF(AND(Information!$F$12="Grain Sorghum",Information!$L$12="Red Clover-Excell."),80,0)</f>
        <v>0</v>
      </c>
      <c r="K76" s="7">
        <f>IF(AND(Information!$F$13="Grain Sorghum",Information!$L$13="Red Clover-Excell."),80,0)</f>
        <v>0</v>
      </c>
      <c r="L76" s="7">
        <f>IF(AND(Information!$F$14="Grain Sorghum",Information!$L$14="Red Clover-Excell."),80,0)</f>
        <v>0</v>
      </c>
      <c r="M76" s="7">
        <f>IF(AND(Information!$F$15="Grain Sorghum",Information!$L$15="Red Clover-Excell."),80,0)</f>
        <v>0</v>
      </c>
      <c r="P76" s="5" t="s">
        <v>92</v>
      </c>
      <c r="Q76" s="7">
        <f>IF(AND(Information!$I$12="Grain Sorghum",Information!$L$12="Red Clover-Excell."),80,0)</f>
        <v>0</v>
      </c>
      <c r="R76" s="7">
        <f>IF(AND(Information!$I$13="Grain Sorghum",Information!$L$13="Red Clover-Excell."),80,0)</f>
        <v>0</v>
      </c>
      <c r="S76" s="7">
        <f>IF(AND(Information!$I$14="Grain Sorghum",Information!$L$14="Red Clover-Excell."),80,0)</f>
        <v>0</v>
      </c>
      <c r="T76" s="7">
        <f>IF(AND(Information!$I$15="Grain Sorghum",Information!$L$15="Red Clover-Excell."),80,0)</f>
        <v>0</v>
      </c>
    </row>
    <row r="77" spans="1:20" x14ac:dyDescent="0.2">
      <c r="B77" s="5" t="s">
        <v>93</v>
      </c>
      <c r="C77" s="7">
        <f>IF(AND(Information!$C$12="Grain Sorghum",Information!$L$12="Red Clover-Good"),40,0)</f>
        <v>0</v>
      </c>
      <c r="D77" s="7">
        <f>IF(AND(Information!$C$13="Grain Sorghum",Information!$L$13="Red Clover-Good"),40,0)</f>
        <v>0</v>
      </c>
      <c r="E77" s="7">
        <f>IF(AND(Information!$C$14="Grain Sorghum",Information!$L$14="Red Clover-Good"),40,0)</f>
        <v>0</v>
      </c>
      <c r="F77" s="7">
        <f>IF(AND(Information!$C$15="Grain Sorghum",Information!$L$15="Red Clover-Good"),40,0)</f>
        <v>0</v>
      </c>
      <c r="I77" s="5" t="s">
        <v>93</v>
      </c>
      <c r="J77" s="7">
        <f>IF(AND(Information!$F$12="Grain Sorghum",Information!$L$12="Red Clover-Good"),40,0)</f>
        <v>0</v>
      </c>
      <c r="K77" s="7">
        <f>IF(AND(Information!$F$13="Grain Sorghum",Information!$L$13="Red Clover-Good"),40,0)</f>
        <v>0</v>
      </c>
      <c r="L77" s="7">
        <f>IF(AND(Information!$F$14="Grain Sorghum",Information!$L$14="Red Clover-Good"),40,0)</f>
        <v>0</v>
      </c>
      <c r="M77" s="7">
        <f>IF(AND(Information!$F$15="Grain Sorghum",Information!$L$15="Red Clover-Good"),40,0)</f>
        <v>0</v>
      </c>
      <c r="P77" s="5" t="s">
        <v>93</v>
      </c>
      <c r="Q77" s="7">
        <f>IF(AND(Information!$I$12="Grain Sorghum",Information!$L$12="Red Clover-Good"),40,0)</f>
        <v>0</v>
      </c>
      <c r="R77" s="7">
        <f>IF(AND(Information!$I$13="Grain Sorghum",Information!$L$13="Red Clover-Good"),40,0)</f>
        <v>0</v>
      </c>
      <c r="S77" s="7">
        <f>IF(AND(Information!$I$14="Grain Sorghum",Information!$L$14="Red Clover-Good"),40,0)</f>
        <v>0</v>
      </c>
      <c r="T77" s="7">
        <f>IF(AND(Information!$I$15="Grain Sorghum",Information!$L$15="Red Clover-Good"),40,0)</f>
        <v>0</v>
      </c>
    </row>
    <row r="78" spans="1:20" x14ac:dyDescent="0.2">
      <c r="B78" s="5" t="s">
        <v>94</v>
      </c>
      <c r="C78" s="7">
        <f>IF(AND(Information!$C$12="Grain Sorghum",Information!$L$12="Red Clover-Poor"),0,0)</f>
        <v>0</v>
      </c>
      <c r="D78" s="7">
        <f>IF(AND(Information!$C$13="Grain Sorghum",Information!$L$13="Red Clover-Poor"),0,0)</f>
        <v>0</v>
      </c>
      <c r="E78" s="7">
        <f>IF(AND(Information!$C$14="Grain Sorghum",Information!$L$14="Red Clover-Poor"),0,0)</f>
        <v>0</v>
      </c>
      <c r="F78" s="7">
        <f>IF(AND(Information!$C$15="Grain Sorghum",Information!$L$15="Red Clover-Poor"),0,0)</f>
        <v>0</v>
      </c>
      <c r="I78" s="5" t="s">
        <v>94</v>
      </c>
      <c r="J78" s="7">
        <f>IF(AND(Information!$F$12="Grain Sorghum",Information!$L$12="Red Clover-Poor"),0,0)</f>
        <v>0</v>
      </c>
      <c r="K78" s="7">
        <f>IF(AND(Information!$F$13="Grain Sorghum",Information!$L$13="Red Clover-Poor"),0,0)</f>
        <v>0</v>
      </c>
      <c r="L78" s="7">
        <f>IF(AND(Information!$F$14="Grain Sorghum",Information!$L$14="Red Clover-Poor"),0,0)</f>
        <v>0</v>
      </c>
      <c r="M78" s="7">
        <f>IF(AND(Information!$F$15="Grain Sorghum",Information!$L$15="Red Clover-Poor"),0,0)</f>
        <v>0</v>
      </c>
      <c r="P78" s="5" t="s">
        <v>94</v>
      </c>
      <c r="Q78" s="7">
        <f>IF(AND(Information!$I$12="Grain Sorghum",Information!$L$12="Red Clover-Poor"),0,0)</f>
        <v>0</v>
      </c>
      <c r="R78" s="7">
        <f>IF(AND(Information!$I$13="Grain Sorghum",Information!$L$13="Red Clover-Poor"),0,0)</f>
        <v>0</v>
      </c>
      <c r="S78" s="7">
        <f>IF(AND(Information!$I$14="Grain Sorghum",Information!$L$14="Red Clover-Poor"),0,0)</f>
        <v>0</v>
      </c>
      <c r="T78" s="7">
        <f>IF(AND(Information!$I$15="Grain Sorghum",Information!$L$15="Red Clover-Poor"),0,0)</f>
        <v>0</v>
      </c>
    </row>
    <row r="79" spans="1:20" x14ac:dyDescent="0.2">
      <c r="B79" s="5" t="s">
        <v>95</v>
      </c>
      <c r="C79" s="7">
        <f>IF(AND(Information!$C$12="Grain Sorghum",Information!$L$12="Sweet Clover-Excell."),110,0)</f>
        <v>0</v>
      </c>
      <c r="D79" s="7">
        <f>IF(AND(Information!$C$13="Grain Sorghum",Information!$L$13="Sweet Clover-Excell."),110,0)</f>
        <v>0</v>
      </c>
      <c r="E79" s="7">
        <f>IF(AND(Information!$C$14="Grain Sorghum",Information!$L$14="Sweet Clover-Excell."),110,0)</f>
        <v>0</v>
      </c>
      <c r="F79" s="7">
        <f>IF(AND(Information!$C$15="Grain Sorghum",Information!$L$15="Sweet Clover-Excell."),110,0)</f>
        <v>0</v>
      </c>
      <c r="I79" s="5" t="s">
        <v>95</v>
      </c>
      <c r="J79" s="7">
        <f>IF(AND(Information!$F$12="Grain Sorghum",Information!$L$12="Sweet Clover-Excell."),110,0)</f>
        <v>0</v>
      </c>
      <c r="K79" s="7">
        <f>IF(AND(Information!$F$13="Grain Sorghum",Information!$L$13="Sweet Clover-Excell."),110,0)</f>
        <v>0</v>
      </c>
      <c r="L79" s="7">
        <f>IF(AND(Information!$F$14="Grain Sorghum",Information!$L$14="Sweet Clover-Excell."),110,0)</f>
        <v>0</v>
      </c>
      <c r="M79" s="7">
        <f>IF(AND(Information!$F$15="Grain Sorghum",Information!$L$15="Sweet Clover-Excell."),110,0)</f>
        <v>0</v>
      </c>
      <c r="P79" s="5" t="s">
        <v>95</v>
      </c>
      <c r="Q79" s="7">
        <f>IF(AND(Information!$I$12="Grain Sorghum",Information!$L$12="Sweet Clover-Excell."),110,0)</f>
        <v>0</v>
      </c>
      <c r="R79" s="7">
        <f>IF(AND(Information!$I$13="Grain Sorghum",Information!$L$13="Sweet Clover-Excell."),110,0)</f>
        <v>0</v>
      </c>
      <c r="S79" s="7">
        <f>IF(AND(Information!$I$14="Grain Sorghum",Information!$L$14="Sweet Clover-Excell."),110,0)</f>
        <v>0</v>
      </c>
      <c r="T79" s="7">
        <f>IF(AND(Information!$I$15="Grain Sorghum",Information!$L$15="Sweet Clover-Excell."),110,0)</f>
        <v>0</v>
      </c>
    </row>
    <row r="80" spans="1:20" x14ac:dyDescent="0.2">
      <c r="B80" s="5" t="s">
        <v>96</v>
      </c>
      <c r="C80" s="7">
        <f>IF(AND(Information!$C$12="Grain Sorghum",Information!$L$12="Sweet Clover-Good"),60,0)</f>
        <v>0</v>
      </c>
      <c r="D80" s="7">
        <f>IF(AND(Information!$C$13="Grain Sorghum",Information!$L$13="Sweet Clover-Good"),60,0)</f>
        <v>0</v>
      </c>
      <c r="E80" s="7">
        <f>IF(AND(Information!$C$14="Grain Sorghum",Information!$L$14="Sweet Clover-Good"),60,0)</f>
        <v>0</v>
      </c>
      <c r="F80" s="7">
        <f>IF(AND(Information!$C$15="Grain Sorghum",Information!$L$15="Sweet Clover-Good"),60,0)</f>
        <v>0</v>
      </c>
      <c r="I80" s="5" t="s">
        <v>96</v>
      </c>
      <c r="J80" s="7">
        <f>IF(AND(Information!$F$12="Grain Sorghum",Information!$L$12="Sweet Clover-Good"),60,0)</f>
        <v>0</v>
      </c>
      <c r="K80" s="7">
        <f>IF(AND(Information!$F$13="Grain Sorghum",Information!$L$13="Sweet Clover-Good"),60,0)</f>
        <v>0</v>
      </c>
      <c r="L80" s="7">
        <f>IF(AND(Information!$F$14="Grain Sorghum",Information!$L$14="Sweet Clover-Good"),60,0)</f>
        <v>0</v>
      </c>
      <c r="M80" s="7">
        <f>IF(AND(Information!$F$15="Grain Sorghum",Information!$L$15="Sweet Clover-Good"),60,0)</f>
        <v>0</v>
      </c>
      <c r="P80" s="5" t="s">
        <v>96</v>
      </c>
      <c r="Q80" s="7">
        <f>IF(AND(Information!$I$12="Grain Sorghum",Information!$L$12="Sweet Clover-Good"),60,0)</f>
        <v>0</v>
      </c>
      <c r="R80" s="7">
        <f>IF(AND(Information!$I$13="Grain Sorghum",Information!$L$13="Sweet Clover-Good"),60,0)</f>
        <v>0</v>
      </c>
      <c r="S80" s="7">
        <f>IF(AND(Information!$I$14="Grain Sorghum",Information!$L$14="Sweet Clover-Good"),60,0)</f>
        <v>0</v>
      </c>
      <c r="T80" s="7">
        <f>IF(AND(Information!$I$15="Grain Sorghum",Information!$L$15="Sweet Clover-Good"),60,0)</f>
        <v>0</v>
      </c>
    </row>
    <row r="81" spans="1:20" x14ac:dyDescent="0.2">
      <c r="B81" s="5" t="s">
        <v>97</v>
      </c>
      <c r="C81" s="7">
        <f>IF(AND(Information!$C$12="Grain Sorghum",Information!$L$12="Sweet Clover-Poor"),0,0)</f>
        <v>0</v>
      </c>
      <c r="D81" s="7">
        <f>IF(AND(Information!$C$13="Grain Sorghum",Information!$L$13="Sweet Clover-Poor"),0,0)</f>
        <v>0</v>
      </c>
      <c r="E81" s="7">
        <f>IF(AND(Information!$C$14="Grain Sorghum",Information!$L$14="Sweet Clover-Poor"),0,0)</f>
        <v>0</v>
      </c>
      <c r="F81" s="7">
        <f>IF(AND(Information!$C$15="Grain Sorghum",Information!$L$15="Sweet Clover-Poor"),0,0)</f>
        <v>0</v>
      </c>
      <c r="I81" s="5" t="s">
        <v>97</v>
      </c>
      <c r="J81" s="7">
        <f>IF(AND(Information!$F$12="Grain Sorghum",Information!$L$12="Sweet Clover-Poor"),0,0)</f>
        <v>0</v>
      </c>
      <c r="K81" s="7">
        <f>IF(AND(Information!$F$13="Grain Sorghum",Information!$L$13="Sweet Clover-Poor"),0,0)</f>
        <v>0</v>
      </c>
      <c r="L81" s="7">
        <f>IF(AND(Information!$F$14="Grain Sorghum",Information!$L$14="Sweet Clover-Poor"),0,0)</f>
        <v>0</v>
      </c>
      <c r="M81" s="7">
        <f>IF(AND(Information!$F$15="Grain Sorghum",Information!$L$15="Sweet Clover-Poor"),0,0)</f>
        <v>0</v>
      </c>
      <c r="P81" s="5" t="s">
        <v>97</v>
      </c>
      <c r="Q81" s="7">
        <f>IF(AND(Information!$I$12="Grain Sorghum",Information!$L$12="Sweet Clover-Poor"),0,0)</f>
        <v>0</v>
      </c>
      <c r="R81" s="7">
        <f>IF(AND(Information!$I$13="Grain Sorghum",Information!$L$13="Sweet Clover-Poor"),0,0)</f>
        <v>0</v>
      </c>
      <c r="S81" s="7">
        <f>IF(AND(Information!$I$14="Grain Sorghum",Information!$L$14="Sweet Clover-Poor"),0,0)</f>
        <v>0</v>
      </c>
      <c r="T81" s="7">
        <f>IF(AND(Information!$I$15="Grain Sorghum",Information!$L$15="Sweet Clover-Poor"),0,0)</f>
        <v>0</v>
      </c>
    </row>
    <row r="82" spans="1:20" ht="13.5" thickBot="1" x14ac:dyDescent="0.25">
      <c r="A82" s="15"/>
      <c r="B82" s="12" t="s">
        <v>52</v>
      </c>
      <c r="C82" s="16">
        <f>IF(AND(Information!$F$20="",Information!$L$12="Fallow",Information!$C$12="Grain Sorghum"),20,0)</f>
        <v>0</v>
      </c>
      <c r="D82" s="16">
        <f>IF(AND(Information!$F$21="",Information!$L$13="Fallow",Information!$C$13="Grain Sorghum"),20,0)</f>
        <v>0</v>
      </c>
      <c r="E82" s="16">
        <f>IF(AND(Information!$F$22="",Information!$L$14="Fallow",Information!$C$14="Grain Sorghum"),20,0)</f>
        <v>0</v>
      </c>
      <c r="F82" s="16">
        <f>IF(AND(Information!$F$23="",Information!$L$15="Fallow",Information!$C$15="Grain Sorghum"),20,0)</f>
        <v>0</v>
      </c>
      <c r="H82" s="15"/>
      <c r="I82" s="12" t="s">
        <v>52</v>
      </c>
      <c r="J82" s="16">
        <f>IF(AND(Information!$F$20="",Information!$L$12="Fallow",Information!$F$12="Grain Sorghum"),20,0)</f>
        <v>0</v>
      </c>
      <c r="K82" s="16">
        <f>IF(AND(Information!$F$21="",Information!$L$13="Fallow",Information!$F$13="Grain Sorghum"),20,0)</f>
        <v>0</v>
      </c>
      <c r="L82" s="16">
        <f>IF(AND(Information!$F$22="",Information!$L$14="Fallow",Information!$F$14="Grain Sorghum"),20,0)</f>
        <v>0</v>
      </c>
      <c r="M82" s="16">
        <f>IF(AND(Information!$F$23="",Information!$L$15="Fallow",Information!$F$15="Grain Sorghum"),20,0)</f>
        <v>0</v>
      </c>
      <c r="O82" s="15"/>
      <c r="P82" s="12" t="s">
        <v>52</v>
      </c>
      <c r="Q82" s="16">
        <f>IF(AND(Information!$F$20="",Information!$L$12="Fallow",Information!$I$12="Grain Sorghum"),20,0)</f>
        <v>0</v>
      </c>
      <c r="R82" s="16">
        <f>IF(AND(Information!$F$21="",Information!$L$13="Fallow",Information!$I$13="Grain Sorghum"),20,0)</f>
        <v>0</v>
      </c>
      <c r="S82" s="16">
        <f>IF(AND(Information!$F$22="",Information!$L$14="Fallow",Information!$I$14="Grain Sorghum"),20,0)</f>
        <v>0</v>
      </c>
      <c r="T82" s="16">
        <f>IF(AND(Information!$F$23="",Information!$L$15="Fallow",Information!$I$15="Grain Sorghum"),20,0)</f>
        <v>0</v>
      </c>
    </row>
    <row r="83" spans="1:20" ht="13.5" thickTop="1" x14ac:dyDescent="0.2">
      <c r="B83" s="5"/>
      <c r="C83" s="24">
        <f>SUM(C67:C82)</f>
        <v>0</v>
      </c>
      <c r="D83" s="24">
        <f>SUM(D67:D82)</f>
        <v>0</v>
      </c>
      <c r="E83" s="24">
        <f>SUM(E67:E82)</f>
        <v>0</v>
      </c>
      <c r="F83" s="24">
        <f>SUM(F67:F82)</f>
        <v>0</v>
      </c>
      <c r="I83" s="5"/>
      <c r="J83" s="24">
        <f>SUM(J67:J82)</f>
        <v>0</v>
      </c>
      <c r="K83" s="24">
        <f>SUM(K67:K82)</f>
        <v>0</v>
      </c>
      <c r="L83" s="24">
        <f>SUM(L67:L82)</f>
        <v>0</v>
      </c>
      <c r="M83" s="24">
        <f>SUM(M67:M82)</f>
        <v>0</v>
      </c>
      <c r="P83" s="5"/>
      <c r="Q83" s="24">
        <f>SUM(Q67:Q82)</f>
        <v>0</v>
      </c>
      <c r="R83" s="24">
        <f>SUM(R67:R82)</f>
        <v>0</v>
      </c>
      <c r="S83" s="24">
        <f>SUM(S67:S82)</f>
        <v>0</v>
      </c>
      <c r="T83" s="24">
        <f>SUM(T67:T82)</f>
        <v>0</v>
      </c>
    </row>
    <row r="85" spans="1:20" ht="13.5" thickBot="1" x14ac:dyDescent="0.25">
      <c r="A85" s="8" t="s">
        <v>54</v>
      </c>
      <c r="B85" s="9" t="s">
        <v>50</v>
      </c>
      <c r="C85" s="9" t="s">
        <v>34</v>
      </c>
      <c r="D85" s="9" t="s">
        <v>35</v>
      </c>
      <c r="E85" s="9" t="s">
        <v>36</v>
      </c>
      <c r="F85" s="9" t="s">
        <v>37</v>
      </c>
      <c r="H85" s="8" t="s">
        <v>54</v>
      </c>
      <c r="I85" s="9" t="s">
        <v>50</v>
      </c>
      <c r="J85" s="9" t="s">
        <v>34</v>
      </c>
      <c r="K85" s="9" t="s">
        <v>35</v>
      </c>
      <c r="L85" s="9" t="s">
        <v>36</v>
      </c>
      <c r="M85" s="9" t="s">
        <v>37</v>
      </c>
      <c r="O85" s="8" t="s">
        <v>54</v>
      </c>
      <c r="P85" s="9" t="s">
        <v>50</v>
      </c>
      <c r="Q85" s="9" t="s">
        <v>34</v>
      </c>
      <c r="R85" s="9" t="s">
        <v>35</v>
      </c>
      <c r="S85" s="9" t="s">
        <v>36</v>
      </c>
      <c r="T85" s="9" t="s">
        <v>37</v>
      </c>
    </row>
    <row r="86" spans="1:20" x14ac:dyDescent="0.2">
      <c r="A86" s="5" t="s">
        <v>59</v>
      </c>
      <c r="B86" s="5" t="s">
        <v>30</v>
      </c>
      <c r="C86" s="7">
        <f>IF(AND(Information!$C$12="Wheat",Information!$L$12="Corn"),0,0)</f>
        <v>0</v>
      </c>
      <c r="D86" s="7">
        <f>IF(AND(Information!$C$13="Wheat",Information!$L$13="Corn"),0,0)</f>
        <v>0</v>
      </c>
      <c r="E86" s="7">
        <f>IF(AND(Information!$C$14="Wheat",Information!$L$14="Corn"),0,0)</f>
        <v>0</v>
      </c>
      <c r="F86" s="7">
        <f>IF(AND(Information!$C$15="Wheat",Information!$L$15="Corn"),0,0)</f>
        <v>0</v>
      </c>
      <c r="H86" s="5" t="s">
        <v>59</v>
      </c>
      <c r="I86" s="5" t="s">
        <v>30</v>
      </c>
      <c r="J86" s="7">
        <f>IF(AND(Information!$F$12="Wheat",Information!$L$12="Corn"),0,0)</f>
        <v>0</v>
      </c>
      <c r="K86" s="7">
        <f>IF(AND(Information!$F$13="Wheat",Information!$L$13="Corn"),0,0)</f>
        <v>0</v>
      </c>
      <c r="L86" s="7">
        <f>IF(AND(Information!$F$14="Wheat",Information!$L$14="Corn"),0,0)</f>
        <v>0</v>
      </c>
      <c r="M86" s="7">
        <f>IF(AND(Information!$F$15="Wheat",Information!$L$15="Corn"),0,0)</f>
        <v>0</v>
      </c>
      <c r="O86" s="5" t="s">
        <v>59</v>
      </c>
      <c r="P86" s="5" t="s">
        <v>30</v>
      </c>
      <c r="Q86" s="7">
        <f>IF(AND(Information!$I$12="Wheat",Information!$L$12="Corn"),0,0)</f>
        <v>0</v>
      </c>
      <c r="R86" s="7">
        <f>IF(AND(Information!$I$13="Wheat",Information!$L$13="Corn"),0,0)</f>
        <v>0</v>
      </c>
      <c r="S86" s="7">
        <f>IF(AND(Information!$I$14="Wheat",Information!$L$14="Corn"),0,0)</f>
        <v>0</v>
      </c>
      <c r="T86" s="7">
        <f>IF(AND(Information!$I$15="Wheat",Information!$L$15="Corn"),0,0)</f>
        <v>0</v>
      </c>
    </row>
    <row r="87" spans="1:20" x14ac:dyDescent="0.2">
      <c r="B87" s="5" t="s">
        <v>38</v>
      </c>
      <c r="C87" s="7">
        <f>IF(AND(Information!$C$12="Wheat",Information!$L$12="Wheat"),0,0)</f>
        <v>0</v>
      </c>
      <c r="D87" s="7">
        <f>IF(AND(Information!$C$13="Wheat",Information!$L$13="Wheat"),0,0)</f>
        <v>0</v>
      </c>
      <c r="E87" s="7">
        <f>IF(AND(Information!$C$14="Wheat",Information!$L$14="Wheat"),0,0)</f>
        <v>0</v>
      </c>
      <c r="F87" s="7">
        <f>IF(AND(Information!$C$15="Wheat",Information!$L$15="Wheat"),0,0)</f>
        <v>0</v>
      </c>
      <c r="I87" s="5" t="s">
        <v>38</v>
      </c>
      <c r="J87" s="7">
        <f>IF(AND(Information!$F$12="Wheat",Information!$L$12="Wheat"),0,0)</f>
        <v>0</v>
      </c>
      <c r="K87" s="7">
        <f>IF(AND(Information!$F$13="Wheat",Information!$L$13="Wheat"),0,0)</f>
        <v>0</v>
      </c>
      <c r="L87" s="7">
        <f>IF(AND(Information!$F$14="Wheat",Information!$L$14="Wheat"),0,0)</f>
        <v>0</v>
      </c>
      <c r="M87" s="7">
        <f>IF(AND(Information!$F$15="Wheat",Information!$L$15="Wheat"),0,0)</f>
        <v>0</v>
      </c>
      <c r="P87" s="5" t="s">
        <v>38</v>
      </c>
      <c r="Q87" s="7">
        <f>IF(AND(Information!$I$12="Wheat",Information!$L$12="Wheat"),0,0)</f>
        <v>0</v>
      </c>
      <c r="R87" s="7">
        <f>IF(AND(Information!$I$13="Wheat",Information!$L$13="Wheat"),0,0)</f>
        <v>0</v>
      </c>
      <c r="S87" s="7">
        <f>IF(AND(Information!$I$14="Wheat",Information!$L$14="Wheat"),0,0)</f>
        <v>0</v>
      </c>
      <c r="T87" s="7">
        <f>IF(AND(Information!$I$15="Wheat",Information!$L$15="Wheat"),0,0)</f>
        <v>0</v>
      </c>
    </row>
    <row r="88" spans="1:20" x14ac:dyDescent="0.2">
      <c r="B88" s="5" t="s">
        <v>39</v>
      </c>
      <c r="C88" s="7">
        <f>IF(AND(Information!$C$12="Wheat",Information!$L$12="Grain Sorghum"),-30,0)</f>
        <v>0</v>
      </c>
      <c r="D88" s="7">
        <f>IF(AND(Information!$C$13="Wheat",Information!$L$13="Grain Sorghum"),-30,0)</f>
        <v>0</v>
      </c>
      <c r="E88" s="7">
        <f>IF(AND(Information!$C$14="Wheat",Information!$L$14="Grain Sorghum"),-30,0)</f>
        <v>0</v>
      </c>
      <c r="F88" s="7">
        <f>IF(AND(Information!$C$15="Wheat",Information!$L$15="Grain Sorghum"),-30,0)</f>
        <v>0</v>
      </c>
      <c r="I88" s="5" t="s">
        <v>39</v>
      </c>
      <c r="J88" s="7">
        <f>IF(AND(Information!$F$12="Wheat",Information!$L$12="Grain Sorghum"),-30,0)</f>
        <v>0</v>
      </c>
      <c r="K88" s="7">
        <f>IF(AND(Information!$F$13="Wheat",Information!$L$13="Grain Sorghum"),-30,0)</f>
        <v>0</v>
      </c>
      <c r="L88" s="7">
        <f>IF(AND(Information!$F$14="Wheat",Information!$L$14="Grain Sorghum"),-30,0)</f>
        <v>0</v>
      </c>
      <c r="M88" s="7">
        <f>IF(AND(Information!$F$15="Wheat",Information!$L$15="Grain Sorghum"),-30,0)</f>
        <v>0</v>
      </c>
      <c r="P88" s="5" t="s">
        <v>39</v>
      </c>
      <c r="Q88" s="7">
        <f>IF(AND(Information!$I$12="Wheat",Information!$L$12="Grain Sorghum"),-30,0)</f>
        <v>0</v>
      </c>
      <c r="R88" s="7">
        <f>IF(AND(Information!$I$13="Wheat",Information!$L$13="Grain Sorghum"),-30,0)</f>
        <v>0</v>
      </c>
      <c r="S88" s="7">
        <f>IF(AND(Information!$I$14="Wheat",Information!$L$14="Grain Sorghum"),-30,0)</f>
        <v>0</v>
      </c>
      <c r="T88" s="7">
        <f>IF(AND(Information!$I$15="Wheat",Information!$L$15="Grain Sorghum"),-30,0)</f>
        <v>0</v>
      </c>
    </row>
    <row r="89" spans="1:20" x14ac:dyDescent="0.2">
      <c r="B89" s="5" t="s">
        <v>51</v>
      </c>
      <c r="C89" s="7">
        <f>IF(AND(Information!$C$12="Wheat",Information!$L$12="Sunflower"),-30,0)</f>
        <v>0</v>
      </c>
      <c r="D89" s="7">
        <f>IF(AND(Information!$C$13="Wheat",Information!$L$13="Sunflower"),-30,0)</f>
        <v>0</v>
      </c>
      <c r="E89" s="7">
        <f>IF(AND(Information!$C$14="Wheat",Information!$L$14="Sunflower"),-30,0)</f>
        <v>0</v>
      </c>
      <c r="F89" s="7">
        <f>IF(AND(Information!$C$15="Wheat",Information!$L$15="Sunflower"),-30,0)</f>
        <v>0</v>
      </c>
      <c r="I89" s="5" t="s">
        <v>51</v>
      </c>
      <c r="J89" s="7">
        <f>IF(AND(Information!$F$12="Wheat",Information!$L$12="Sunflower"),-30,0)</f>
        <v>0</v>
      </c>
      <c r="K89" s="7">
        <f>IF(AND(Information!$F$13="Wheat",Information!$L$13="Sunflower"),-30,0)</f>
        <v>0</v>
      </c>
      <c r="L89" s="7">
        <f>IF(AND(Information!$F$14="Wheat",Information!$L$14="Sunflower"),-30,0)</f>
        <v>0</v>
      </c>
      <c r="M89" s="7">
        <f>IF(AND(Information!$F$15="Wheat",Information!$L$15="Sunflower"),-30,0)</f>
        <v>0</v>
      </c>
      <c r="P89" s="5" t="s">
        <v>51</v>
      </c>
      <c r="Q89" s="7">
        <f>IF(AND(Information!$I$12="Wheat",Information!$L$12="Sunflower"),-30,0)</f>
        <v>0</v>
      </c>
      <c r="R89" s="7">
        <f>IF(AND(Information!$I$13="Wheat",Information!$L$13="Sunflower"),-30,0)</f>
        <v>0</v>
      </c>
      <c r="S89" s="7">
        <f>IF(AND(Information!$I$14="Wheat",Information!$L$14="Sunflower"),-30,0)</f>
        <v>0</v>
      </c>
      <c r="T89" s="7">
        <f>IF(AND(Information!$I$15="Wheat",Information!$L$15="Sunflower"),-30,0)</f>
        <v>0</v>
      </c>
    </row>
    <row r="90" spans="1:20" x14ac:dyDescent="0.2">
      <c r="B90" s="14" t="s">
        <v>32</v>
      </c>
      <c r="C90" s="7">
        <f>IF(AND(Information!$C$12="Wheat",Information!$L$12="Soybeans"),0,0)</f>
        <v>0</v>
      </c>
      <c r="D90" s="7">
        <f>IF(AND(Information!$C$13="Wheat",Information!$L$13="Soybeans"),0,0)</f>
        <v>0</v>
      </c>
      <c r="E90" s="7">
        <f>IF(AND(Information!$C$14="Wheat",Information!$L$14="Soybeans"),0,0)</f>
        <v>0</v>
      </c>
      <c r="F90" s="7">
        <f>IF(AND(Information!$C$15="Wheat",Information!$L$15="Soybeans"),0,0)</f>
        <v>0</v>
      </c>
      <c r="I90" s="14" t="s">
        <v>32</v>
      </c>
      <c r="J90" s="7">
        <f>IF(AND(Information!$F$12="Wheat",Information!$L$12="Soybeans"),0,0)</f>
        <v>0</v>
      </c>
      <c r="K90" s="7">
        <f>IF(AND(Information!$F$13="Wheat",Information!$L$13="Soybeans"),0,0)</f>
        <v>0</v>
      </c>
      <c r="L90" s="7">
        <f>IF(AND(Information!$F$14="Wheat",Information!$L$14="Soybeans"),0,0)</f>
        <v>0</v>
      </c>
      <c r="M90" s="7">
        <f>IF(AND(Information!$F$15="Wheat",Information!$L$15="Soybeans"),0,0)</f>
        <v>0</v>
      </c>
      <c r="P90" s="14" t="s">
        <v>32</v>
      </c>
      <c r="Q90" s="7">
        <f>IF(AND(Information!$I$12="Wheat",Information!$L$12="Soybeans"),0,0)</f>
        <v>0</v>
      </c>
      <c r="R90" s="7">
        <f>IF(AND(Information!$I$13="Wheat",Information!$L$13="Soybeans"),0,0)</f>
        <v>0</v>
      </c>
      <c r="S90" s="7">
        <f>IF(AND(Information!$I$14="Wheat",Information!$L$14="Soybeans"),0,0)</f>
        <v>0</v>
      </c>
      <c r="T90" s="7">
        <f>IF(AND(Information!$I$15="Wheat",Information!$L$15="Soybeans"),0,0)</f>
        <v>0</v>
      </c>
    </row>
    <row r="91" spans="1:20" x14ac:dyDescent="0.2">
      <c r="B91" s="5" t="s">
        <v>88</v>
      </c>
      <c r="C91" s="7">
        <f>IF(AND(Information!$C$12="Wheat",Information!$L$12="Alfalfa-Excell."),60,0)</f>
        <v>0</v>
      </c>
      <c r="D91" s="7">
        <f>IF(AND(Information!$C$13="Wheat",Information!$L$13="Alfalfa-Excell."),60,0)</f>
        <v>0</v>
      </c>
      <c r="E91" s="7">
        <f>IF(AND(Information!$C$14="Wheat",Information!$L$14="Alfalfa-Excell."),60,0)</f>
        <v>0</v>
      </c>
      <c r="F91" s="7">
        <f>IF(AND(Information!$C$15="Wheat",Information!$L$15="Alfalfa-Excell."),60,0)</f>
        <v>0</v>
      </c>
      <c r="I91" s="5" t="s">
        <v>88</v>
      </c>
      <c r="J91" s="7">
        <f>IF(AND(Information!$F$12="Wheat",Information!$L$12="Alfalfa-Excell."),60,0)</f>
        <v>0</v>
      </c>
      <c r="K91" s="7">
        <f>IF(AND(Information!$F$13="Wheat",Information!$L$13="Alfalfa-Excell."),60,0)</f>
        <v>0</v>
      </c>
      <c r="L91" s="7">
        <f>IF(AND(Information!$F$14="Wheat",Information!$L$14="Alfalfa-Excell."),60,0)</f>
        <v>0</v>
      </c>
      <c r="M91" s="7">
        <f>IF(AND(Information!$F$15="Wheat",Information!$L$15="Alfalfa-Excell."),60,0)</f>
        <v>0</v>
      </c>
      <c r="P91" s="5" t="s">
        <v>88</v>
      </c>
      <c r="Q91" s="7">
        <f>IF(AND(Information!$I$12="Wheat",Information!$L$12="Alfalfa-Excell."),60,0)</f>
        <v>0</v>
      </c>
      <c r="R91" s="7">
        <f>IF(AND(Information!$I$13="Wheat",Information!$L$13="Alfalfa-Excell."),60,0)</f>
        <v>0</v>
      </c>
      <c r="S91" s="7">
        <f>IF(AND(Information!$I$14="Wheat",Information!$L$14="Alfalfa-Excell."),60,0)</f>
        <v>0</v>
      </c>
      <c r="T91" s="7">
        <f>IF(AND(Information!$I$15="Wheat",Information!$L$15="Alfalfa-Excell."),60,0)</f>
        <v>0</v>
      </c>
    </row>
    <row r="92" spans="1:20" x14ac:dyDescent="0.2">
      <c r="B92" s="5" t="s">
        <v>89</v>
      </c>
      <c r="C92" s="7">
        <f>IF(AND(Information!$C$12="Wheat",Information!$L$12="Alfalfa-Good"),40,0)</f>
        <v>0</v>
      </c>
      <c r="D92" s="7">
        <f>IF(AND(Information!$C$13="Wheat",Information!$L$13="Alfalfa-Good"),40,0)</f>
        <v>0</v>
      </c>
      <c r="E92" s="7">
        <f>IF(AND(Information!$C$14="Wheat",Information!$L$14="Alfalfa-Good"),40,0)</f>
        <v>0</v>
      </c>
      <c r="F92" s="7">
        <f>IF(AND(Information!$C$15="Wheat",Information!$L$15="Alfalfa-Good"),40,0)</f>
        <v>0</v>
      </c>
      <c r="I92" s="5" t="s">
        <v>89</v>
      </c>
      <c r="J92" s="7">
        <f>IF(AND(Information!$F$12="Wheat",Information!$L$12="Alfalfa-Good"),40,0)</f>
        <v>0</v>
      </c>
      <c r="K92" s="7">
        <f>IF(AND(Information!$F$13="Wheat",Information!$L$13="Alfalfa-Good"),40,0)</f>
        <v>0</v>
      </c>
      <c r="L92" s="7">
        <f>IF(AND(Information!$F$14="Wheat",Information!$L$14="Alfalfa-Good"),40,0)</f>
        <v>0</v>
      </c>
      <c r="M92" s="7">
        <f>IF(AND(Information!$F$15="Wheat",Information!$L$15="Alfalfa-Good"),40,0)</f>
        <v>0</v>
      </c>
      <c r="P92" s="5" t="s">
        <v>89</v>
      </c>
      <c r="Q92" s="7">
        <f>IF(AND(Information!$I$12="Wheat",Information!$L$12="Alfalfa-Good"),40,0)</f>
        <v>0</v>
      </c>
      <c r="R92" s="7">
        <f>IF(AND(Information!$I$13="Wheat",Information!$L$13="Alfalfa-Good"),40,0)</f>
        <v>0</v>
      </c>
      <c r="S92" s="7">
        <f>IF(AND(Information!$I$14="Wheat",Information!$L$14="Alfalfa-Good"),40,0)</f>
        <v>0</v>
      </c>
      <c r="T92" s="7">
        <f>IF(AND(Information!$I$15="Wheat",Information!$L$15="Alfalfa-Good"),40,0)</f>
        <v>0</v>
      </c>
    </row>
    <row r="93" spans="1:20" x14ac:dyDescent="0.2">
      <c r="B93" s="5" t="s">
        <v>90</v>
      </c>
      <c r="C93" s="7">
        <f>IF(AND(Information!$C$12="Wheat",Information!$L$12="Alfalfa-Fair"),20,0)</f>
        <v>0</v>
      </c>
      <c r="D93" s="7">
        <f>IF(AND(Information!$C$13="Wheat",Information!$L$13="Alfalfa-Fair"),20,0)</f>
        <v>0</v>
      </c>
      <c r="E93" s="7">
        <f>IF(AND(Information!$C$14="Wheat",Information!$L$14="Alfalfa-Fair"),20,0)</f>
        <v>0</v>
      </c>
      <c r="F93" s="7">
        <f>IF(AND(Information!$C$15="Wheat",Information!$L$15="Alfalfa-Fair"),20,0)</f>
        <v>0</v>
      </c>
      <c r="I93" s="5" t="s">
        <v>90</v>
      </c>
      <c r="J93" s="7">
        <f>IF(AND(Information!$F$12="Wheat",Information!$L$12="Alfalfa-Fair"),20,0)</f>
        <v>0</v>
      </c>
      <c r="K93" s="7">
        <f>IF(AND(Information!$F$13="Wheat",Information!$L$13="Alfalfa-Fair"),20,0)</f>
        <v>0</v>
      </c>
      <c r="L93" s="7">
        <f>IF(AND(Information!$F$14="Wheat",Information!$L$14="Alfalfa-Fair"),20,0)</f>
        <v>0</v>
      </c>
      <c r="M93" s="7">
        <f>IF(AND(Information!$F$15="Wheat",Information!$L$15="Alfalfa-Fair"),20,0)</f>
        <v>0</v>
      </c>
      <c r="P93" s="5" t="s">
        <v>90</v>
      </c>
      <c r="Q93" s="7">
        <f>IF(AND(Information!$I$12="Wheat",Information!$L$12="Alfalfa-Fair"),20,0)</f>
        <v>0</v>
      </c>
      <c r="R93" s="7">
        <f>IF(AND(Information!$I$13="Wheat",Information!$L$13="Alfalfa-Fair"),20,0)</f>
        <v>0</v>
      </c>
      <c r="S93" s="7">
        <f>IF(AND(Information!$I$14="Wheat",Information!$L$14="Alfalfa-Fair"),20,0)</f>
        <v>0</v>
      </c>
      <c r="T93" s="7">
        <f>IF(AND(Information!$I$15="Wheat",Information!$L$15="Alfalfa-Fair"),20,0)</f>
        <v>0</v>
      </c>
    </row>
    <row r="94" spans="1:20" x14ac:dyDescent="0.2">
      <c r="B94" s="5" t="s">
        <v>91</v>
      </c>
      <c r="C94" s="7">
        <f>IF(AND(Information!$C$12="Wheat",Information!$L$12="Alfalfa-Poor"),0,0)</f>
        <v>0</v>
      </c>
      <c r="D94" s="7">
        <f>IF(AND(Information!$C$13="Wheat",Information!$L$13="Alfalfa-Poor"),0,0)</f>
        <v>0</v>
      </c>
      <c r="E94" s="7">
        <f>IF(AND(Information!$C$14="Wheat",Information!$L$14="Alfalfa-Poor"),0,0)</f>
        <v>0</v>
      </c>
      <c r="F94" s="7">
        <f>IF(AND(Information!$C$15="Wheat",Information!$L$15="Alfalfa-Poor"),0,0)</f>
        <v>0</v>
      </c>
      <c r="I94" s="5" t="s">
        <v>91</v>
      </c>
      <c r="J94" s="7">
        <f>IF(AND(Information!$F$12="Wheat",Information!$L$12="Alfalfa-Poor"),0,0)</f>
        <v>0</v>
      </c>
      <c r="K94" s="7">
        <f>IF(AND(Information!$F$13="Wheat",Information!$L$13="Alfalfa-Poor"),0,0)</f>
        <v>0</v>
      </c>
      <c r="L94" s="7">
        <f>IF(AND(Information!$F$14="Wheat",Information!$L$14="Alfalfa-Poor"),0,0)</f>
        <v>0</v>
      </c>
      <c r="M94" s="7">
        <f>IF(AND(Information!$F$15="Wheat",Information!$L$15="Alfalfa-Poor"),0,0)</f>
        <v>0</v>
      </c>
      <c r="P94" s="5" t="s">
        <v>91</v>
      </c>
      <c r="Q94" s="7">
        <f>IF(AND(Information!$I$12="Wheat",Information!$L$12="Alfalfa-Poor"),0,0)</f>
        <v>0</v>
      </c>
      <c r="R94" s="7">
        <f>IF(AND(Information!$I$13="Wheat",Information!$L$13="Alfalfa-Poor"),0,0)</f>
        <v>0</v>
      </c>
      <c r="S94" s="7">
        <f>IF(AND(Information!$I$14="Wheat",Information!$L$14="Alfalfa-Poor"),0,0)</f>
        <v>0</v>
      </c>
      <c r="T94" s="7">
        <f>IF(AND(Information!$I$15="Wheat",Information!$L$15="Alfalfa-Poor"),0,0)</f>
        <v>0</v>
      </c>
    </row>
    <row r="95" spans="1:20" x14ac:dyDescent="0.2">
      <c r="B95" s="5" t="s">
        <v>92</v>
      </c>
      <c r="C95" s="7">
        <f>IF(AND(Information!$C$12="Wheat",Information!$L$12="Red Clover-Excell."),40,0)</f>
        <v>0</v>
      </c>
      <c r="D95" s="7">
        <f>IF(AND(Information!$C$13="Wheat",Information!$L$13="Red Clover-Excell."),40,0)</f>
        <v>0</v>
      </c>
      <c r="E95" s="7">
        <f>IF(AND(Information!$C$14="Wheat",Information!$L$14="Red Clover-Excell."),40,0)</f>
        <v>0</v>
      </c>
      <c r="F95" s="7">
        <f>IF(AND(Information!$C$15="Wheat",Information!$L$15="Red Clover-Excell."),40,0)</f>
        <v>0</v>
      </c>
      <c r="I95" s="5" t="s">
        <v>92</v>
      </c>
      <c r="J95" s="7">
        <f>IF(AND(Information!$F$12="Wheat",Information!$L$12="Red Clover-Excell."),40,0)</f>
        <v>0</v>
      </c>
      <c r="K95" s="7">
        <f>IF(AND(Information!$F$13="Wheat",Information!$L$13="Red Clover-Excell."),40,0)</f>
        <v>0</v>
      </c>
      <c r="L95" s="7">
        <f>IF(AND(Information!$F$14="Wheat",Information!$L$14="Red Clover-Excell."),40,0)</f>
        <v>0</v>
      </c>
      <c r="M95" s="7">
        <f>IF(AND(Information!$F$15="Wheat",Information!$L$15="Red Clover-Excell."),40,0)</f>
        <v>0</v>
      </c>
      <c r="P95" s="5" t="s">
        <v>92</v>
      </c>
      <c r="Q95" s="7">
        <f>IF(AND(Information!$I$12="Wheat",Information!$L$12="Red Clover-Excell."),40,0)</f>
        <v>0</v>
      </c>
      <c r="R95" s="7">
        <f>IF(AND(Information!$I$13="Wheat",Information!$L$13="Red Clover-Excell."),40,0)</f>
        <v>0</v>
      </c>
      <c r="S95" s="7">
        <f>IF(AND(Information!$I$14="Wheat",Information!$L$14="Red Clover-Excell."),40,0)</f>
        <v>0</v>
      </c>
      <c r="T95" s="7">
        <f>IF(AND(Information!$I$15="Wheat",Information!$L$15="Red Clover-Excell."),40,0)</f>
        <v>0</v>
      </c>
    </row>
    <row r="96" spans="1:20" x14ac:dyDescent="0.2">
      <c r="B96" s="5" t="s">
        <v>93</v>
      </c>
      <c r="C96" s="7">
        <f>IF(AND(Information!$C$12="Wheat",Information!$L$12="Red Clover-Good"),20,0)</f>
        <v>0</v>
      </c>
      <c r="D96" s="7">
        <f>IF(AND(Information!$C$13="Wheat",Information!$L$13="Red Clover-Good"),20,0)</f>
        <v>0</v>
      </c>
      <c r="E96" s="7">
        <f>IF(AND(Information!$C$14="Wheat",Information!$L$14="Red Clover-Good"),20,0)</f>
        <v>0</v>
      </c>
      <c r="F96" s="7">
        <f>IF(AND(Information!$C$15="Wheat",Information!$L$15="Red Clover-Good"),20,0)</f>
        <v>0</v>
      </c>
      <c r="I96" s="5" t="s">
        <v>93</v>
      </c>
      <c r="J96" s="7">
        <f>IF(AND(Information!$F$12="Wheat",Information!$L$12="Red Clover-Good"),20,0)</f>
        <v>0</v>
      </c>
      <c r="K96" s="7">
        <f>IF(AND(Information!$F$13="Wheat",Information!$L$13="Red Clover-Good"),20,0)</f>
        <v>0</v>
      </c>
      <c r="L96" s="7">
        <f>IF(AND(Information!$F$14="Wheat",Information!$L$14="Red Clover-Good"),20,0)</f>
        <v>0</v>
      </c>
      <c r="M96" s="7">
        <f>IF(AND(Information!$F$15="Wheat",Information!$L$15="Red Clover-Good"),20,0)</f>
        <v>0</v>
      </c>
      <c r="P96" s="5" t="s">
        <v>93</v>
      </c>
      <c r="Q96" s="7">
        <f>IF(AND(Information!$I$12="Wheat",Information!$L$12="Red Clover-Good"),20,0)</f>
        <v>0</v>
      </c>
      <c r="R96" s="7">
        <f>IF(AND(Information!$I$13="Wheat",Information!$L$13="Red Clover-Good"),20,0)</f>
        <v>0</v>
      </c>
      <c r="S96" s="7">
        <f>IF(AND(Information!$I$14="Wheat",Information!$L$14="Red Clover-Good"),20,0)</f>
        <v>0</v>
      </c>
      <c r="T96" s="7">
        <f>IF(AND(Information!$I$15="Wheat",Information!$L$15="Red Clover-Good"),20,0)</f>
        <v>0</v>
      </c>
    </row>
    <row r="97" spans="1:20" x14ac:dyDescent="0.2">
      <c r="B97" s="5" t="s">
        <v>94</v>
      </c>
      <c r="C97" s="7">
        <f>IF(AND(Information!$C$12="Wheat",Information!$L$12="Red Clover-Poor"),0,0)</f>
        <v>0</v>
      </c>
      <c r="D97" s="7">
        <f>IF(AND(Information!$C$13="Wheat",Information!$L$13="Red Clover-Poor"),0,0)</f>
        <v>0</v>
      </c>
      <c r="E97" s="7">
        <f>IF(AND(Information!$C$14="Wheat",Information!$L$14="Red Clover-Poor"),0,0)</f>
        <v>0</v>
      </c>
      <c r="F97" s="7">
        <f>IF(AND(Information!$C$15="Wheat",Information!$L$15="Red Clover-Poor"),0,0)</f>
        <v>0</v>
      </c>
      <c r="I97" s="5" t="s">
        <v>94</v>
      </c>
      <c r="J97" s="7">
        <f>IF(AND(Information!$F$12="Wheat",Information!$L$12="Red Clover-Poor"),0,0)</f>
        <v>0</v>
      </c>
      <c r="K97" s="7">
        <f>IF(AND(Information!$F$13="Wheat",Information!$L$13="Red Clover-Poor"),0,0)</f>
        <v>0</v>
      </c>
      <c r="L97" s="7">
        <f>IF(AND(Information!$F$14="Wheat",Information!$L$14="Red Clover-Poor"),0,0)</f>
        <v>0</v>
      </c>
      <c r="M97" s="7">
        <f>IF(AND(Information!$F$15="Wheat",Information!$L$15="Red Clover-Poor"),0,0)</f>
        <v>0</v>
      </c>
      <c r="P97" s="5" t="s">
        <v>94</v>
      </c>
      <c r="Q97" s="7">
        <f>IF(AND(Information!$I$12="Wheat",Information!$L$12="Red Clover-Poor"),0,0)</f>
        <v>0</v>
      </c>
      <c r="R97" s="7">
        <f>IF(AND(Information!$I$13="Wheat",Information!$L$13="Red Clover-Poor"),0,0)</f>
        <v>0</v>
      </c>
      <c r="S97" s="7">
        <f>IF(AND(Information!$I$14="Wheat",Information!$L$14="Red Clover-Poor"),0,0)</f>
        <v>0</v>
      </c>
      <c r="T97" s="7">
        <f>IF(AND(Information!$I$15="Wheat",Information!$L$15="Red Clover-Poor"),0,0)</f>
        <v>0</v>
      </c>
    </row>
    <row r="98" spans="1:20" x14ac:dyDescent="0.2">
      <c r="B98" s="5" t="s">
        <v>95</v>
      </c>
      <c r="C98" s="7">
        <f>IF(AND(Information!$C$12="Wheat",Information!$L$12="Sweet Clover-Excell."),55,0)</f>
        <v>0</v>
      </c>
      <c r="D98" s="7">
        <f>IF(AND(Information!$C$13="Wheat",Information!$L$13="Sweet Clover-Excell."),55,0)</f>
        <v>0</v>
      </c>
      <c r="E98" s="7">
        <f>IF(AND(Information!$C$14="Wheat",Information!$L$14="Sweet Clover-Excell."),55,0)</f>
        <v>0</v>
      </c>
      <c r="F98" s="7">
        <f>IF(AND(Information!$C$15="Wheat",Information!$L$15="Sweet Clover-Excell."),55,0)</f>
        <v>0</v>
      </c>
      <c r="I98" s="5" t="s">
        <v>95</v>
      </c>
      <c r="J98" s="7">
        <f>IF(AND(Information!$F$12="Wheat",Information!$L$12="Sweet Clover-Excell."),55,0)</f>
        <v>0</v>
      </c>
      <c r="K98" s="7">
        <f>IF(AND(Information!$F$13="Wheat",Information!$L$13="Sweet Clover-Excell."),55,0)</f>
        <v>0</v>
      </c>
      <c r="L98" s="7">
        <f>IF(AND(Information!$F$14="Wheat",Information!$L$14="Sweet Clover-Excell."),55,0)</f>
        <v>0</v>
      </c>
      <c r="M98" s="7">
        <f>IF(AND(Information!$F$15="Wheat",Information!$L$15="Sweet Clover-Excell."),55,0)</f>
        <v>0</v>
      </c>
      <c r="P98" s="5" t="s">
        <v>95</v>
      </c>
      <c r="Q98" s="7">
        <f>IF(AND(Information!$I$12="Wheat",Information!$L$12="Sweet Clover-Excell."),55,0)</f>
        <v>0</v>
      </c>
      <c r="R98" s="7">
        <f>IF(AND(Information!$I$13="Wheat",Information!$L$13="Sweet Clover-Excell."),55,0)</f>
        <v>0</v>
      </c>
      <c r="S98" s="7">
        <f>IF(AND(Information!$I$14="Wheat",Information!$L$14="Sweet Clover-Excell."),55,0)</f>
        <v>0</v>
      </c>
      <c r="T98" s="7">
        <f>IF(AND(Information!$I$15="Wheat",Information!$L$15="Sweet Clover-Excell."),55,0)</f>
        <v>0</v>
      </c>
    </row>
    <row r="99" spans="1:20" x14ac:dyDescent="0.2">
      <c r="B99" s="5" t="s">
        <v>96</v>
      </c>
      <c r="C99" s="7">
        <f>IF(AND(Information!$C$12="Wheat",Information!$L$12="Sweet Clover-Good"),30,0)</f>
        <v>0</v>
      </c>
      <c r="D99" s="7">
        <f>IF(AND(Information!$C$13="Wheat",Information!$L$13="Sweet Clover-Good"),30,0)</f>
        <v>0</v>
      </c>
      <c r="E99" s="7">
        <f>IF(AND(Information!$C$14="Wheat",Information!$L$14="Sweet Clover-Good"),30,0)</f>
        <v>0</v>
      </c>
      <c r="F99" s="7">
        <f>IF(AND(Information!$C$15="Wheat",Information!$L$15="Sweet Clover-Good"),30,0)</f>
        <v>0</v>
      </c>
      <c r="I99" s="5" t="s">
        <v>96</v>
      </c>
      <c r="J99" s="7">
        <f>IF(AND(Information!$F$12="Wheat",Information!$L$12="Sweet Clover-Good"),30,0)</f>
        <v>0</v>
      </c>
      <c r="K99" s="7">
        <f>IF(AND(Information!$F$13="Wheat",Information!$L$13="Sweet Clover-Good"),30,0)</f>
        <v>0</v>
      </c>
      <c r="L99" s="7">
        <f>IF(AND(Information!$F$14="Wheat",Information!$L$14="Sweet Clover-Good"),30,0)</f>
        <v>0</v>
      </c>
      <c r="M99" s="7">
        <f>IF(AND(Information!$F$15="Wheat",Information!$L$15="Sweet Clover-Good"),30,0)</f>
        <v>0</v>
      </c>
      <c r="P99" s="5" t="s">
        <v>96</v>
      </c>
      <c r="Q99" s="7">
        <f>IF(AND(Information!$I$12="Wheat",Information!$L$12="Sweet Clover-Good"),30,0)</f>
        <v>0</v>
      </c>
      <c r="R99" s="7">
        <f>IF(AND(Information!$I$13="Wheat",Information!$L$13="Sweet Clover-Good"),30,0)</f>
        <v>0</v>
      </c>
      <c r="S99" s="7">
        <f>IF(AND(Information!$I$14="Wheat",Information!$L$14="Sweet Clover-Good"),30,0)</f>
        <v>0</v>
      </c>
      <c r="T99" s="7">
        <f>IF(AND(Information!$I$15="Wheat",Information!$L$15="Sweet Clover-Good"),30,0)</f>
        <v>0</v>
      </c>
    </row>
    <row r="100" spans="1:20" x14ac:dyDescent="0.2">
      <c r="B100" s="5" t="s">
        <v>97</v>
      </c>
      <c r="C100" s="7">
        <f>IF(AND(Information!$C$12="Wheat",Information!$L$12="Sweet Clover-Poor"),0,0)</f>
        <v>0</v>
      </c>
      <c r="D100" s="7">
        <f>IF(AND(Information!$C$13="Wheat",Information!$L$13="Sweet Clover-Poor"),0,0)</f>
        <v>0</v>
      </c>
      <c r="E100" s="7">
        <f>IF(AND(Information!$C$14="Wheat",Information!$L$14="Sweet Clover-Poor"),0,0)</f>
        <v>0</v>
      </c>
      <c r="F100" s="7">
        <f>IF(AND(Information!$C$15="Wheat",Information!$L$15="Sweet Clover-Poor"),0,0)</f>
        <v>0</v>
      </c>
      <c r="I100" s="5" t="s">
        <v>97</v>
      </c>
      <c r="J100" s="7">
        <f>IF(AND(Information!$F$12="Wheat",Information!$L$12="Sweet Clover-Poor"),0,0)</f>
        <v>0</v>
      </c>
      <c r="K100" s="7">
        <f>IF(AND(Information!$F$13="Wheat",Information!$L$13="Sweet Clover-Poor"),0,0)</f>
        <v>0</v>
      </c>
      <c r="L100" s="7">
        <f>IF(AND(Information!$F$14="Wheat",Information!$L$14="Sweet Clover-Poor"),0,0)</f>
        <v>0</v>
      </c>
      <c r="M100" s="7">
        <f>IF(AND(Information!$F$15="Wheat",Information!$L$15="Sweet Clover-Poor"),0,0)</f>
        <v>0</v>
      </c>
      <c r="P100" s="5" t="s">
        <v>97</v>
      </c>
      <c r="Q100" s="7">
        <f>IF(AND(Information!$I$12="Wheat",Information!$L$12="Sweet Clover-Poor"),0,0)</f>
        <v>0</v>
      </c>
      <c r="R100" s="7">
        <f>IF(AND(Information!$I$13="Wheat",Information!$L$13="Sweet Clover-Poor"),0,0)</f>
        <v>0</v>
      </c>
      <c r="S100" s="7">
        <f>IF(AND(Information!$I$14="Wheat",Information!$L$14="Sweet Clover-Poor"),0,0)</f>
        <v>0</v>
      </c>
      <c r="T100" s="7">
        <f>IF(AND(Information!$I$15="Wheat",Information!$L$15="Sweet Clover-Poor"),0,0)</f>
        <v>0</v>
      </c>
    </row>
    <row r="101" spans="1:20" ht="13.5" thickBot="1" x14ac:dyDescent="0.25">
      <c r="A101" s="15"/>
      <c r="B101" s="12" t="s">
        <v>52</v>
      </c>
      <c r="C101" s="16">
        <f>IF(AND(Information!$F$20="",Information!$L$12="Fallow",Information!$C$12="Wheat"),20,0)</f>
        <v>0</v>
      </c>
      <c r="D101" s="16">
        <f>IF(AND(Information!$F$21="",Information!$L$13="Fallow",Information!$C$13="Wheat"),20,0)</f>
        <v>0</v>
      </c>
      <c r="E101" s="16">
        <f>IF(AND(Information!$F$22="",Information!$L$14="Fallow",Information!$C$14="Wheat"),20,0)</f>
        <v>0</v>
      </c>
      <c r="F101" s="16">
        <f>IF(AND(Information!$F$23="",Information!$L$15="Fallow",Information!$C$15="Wheat"),20,0)</f>
        <v>0</v>
      </c>
      <c r="H101" s="15"/>
      <c r="I101" s="12" t="s">
        <v>52</v>
      </c>
      <c r="J101" s="16">
        <f>IF(AND(Information!$F$20="",Information!$L$12="Fallow",Information!$F$12="Wheat"),20,0)</f>
        <v>0</v>
      </c>
      <c r="K101" s="16">
        <f>IF(AND(Information!$F$21="",Information!$L$13="Fallow",Information!$F$13="Wheat"),20,0)</f>
        <v>0</v>
      </c>
      <c r="L101" s="16">
        <f>IF(AND(Information!$F$22="",Information!$L$14="Fallow",Information!$F$14="Wheat"),20,0)</f>
        <v>0</v>
      </c>
      <c r="M101" s="16">
        <f>IF(AND(Information!$F$23="",Information!$L$15="Fallow",Information!$F$15="Wheat"),20,0)</f>
        <v>0</v>
      </c>
      <c r="O101" s="15"/>
      <c r="P101" s="12" t="s">
        <v>52</v>
      </c>
      <c r="Q101" s="16">
        <f>IF(AND(Information!$F$20="",Information!$L$12="Fallow",Information!$I$12="Wheat"),20,0)</f>
        <v>0</v>
      </c>
      <c r="R101" s="16">
        <f>IF(AND(Information!$F$21="",Information!$L$13="Fallow",Information!$I$13="Wheat"),20,0)</f>
        <v>0</v>
      </c>
      <c r="S101" s="16">
        <f>IF(AND(Information!$F$22="",Information!$L$14="Fallow",Information!$I$14="Wheat"),20,0)</f>
        <v>0</v>
      </c>
      <c r="T101" s="16">
        <f>IF(AND(Information!$F$23="",Information!$L$15="Fallow",Information!$I$15="Wheat"),20,0)</f>
        <v>0</v>
      </c>
    </row>
    <row r="102" spans="1:20" ht="13.5" thickTop="1" x14ac:dyDescent="0.2">
      <c r="B102" s="5"/>
      <c r="C102" s="24">
        <f>SUM(C86:C101)</f>
        <v>0</v>
      </c>
      <c r="D102" s="24">
        <f>SUM(D86:D101)</f>
        <v>0</v>
      </c>
      <c r="E102" s="24">
        <f>SUM(E86:E101)</f>
        <v>0</v>
      </c>
      <c r="F102" s="24">
        <f>SUM(F86:F101)</f>
        <v>0</v>
      </c>
      <c r="I102" s="5"/>
      <c r="J102" s="24">
        <f>SUM(J86:J101)</f>
        <v>0</v>
      </c>
      <c r="K102" s="24">
        <f>SUM(K86:K101)</f>
        <v>0</v>
      </c>
      <c r="L102" s="24">
        <f>SUM(L86:L101)</f>
        <v>0</v>
      </c>
      <c r="M102" s="24">
        <f>SUM(M86:M101)</f>
        <v>0</v>
      </c>
      <c r="P102" s="5"/>
      <c r="Q102" s="24">
        <f>SUM(Q86:Q101)</f>
        <v>0</v>
      </c>
      <c r="R102" s="24">
        <f>SUM(R86:R101)</f>
        <v>0</v>
      </c>
      <c r="S102" s="24">
        <f>SUM(S86:S101)</f>
        <v>0</v>
      </c>
      <c r="T102" s="24">
        <f>SUM(T86:T101)</f>
        <v>0</v>
      </c>
    </row>
    <row r="103" spans="1:20" x14ac:dyDescent="0.2">
      <c r="B103" s="5"/>
      <c r="C103" s="24"/>
      <c r="D103" s="24"/>
      <c r="E103" s="24"/>
      <c r="F103" s="24"/>
      <c r="I103" s="5"/>
      <c r="J103" s="24"/>
      <c r="K103" s="24"/>
      <c r="L103" s="24"/>
      <c r="M103" s="24"/>
      <c r="P103" s="5"/>
      <c r="Q103" s="24"/>
      <c r="R103" s="24"/>
      <c r="S103" s="24"/>
      <c r="T103" s="24"/>
    </row>
    <row r="104" spans="1:20" ht="13.5" thickBot="1" x14ac:dyDescent="0.25">
      <c r="A104" s="8" t="s">
        <v>54</v>
      </c>
      <c r="B104" s="9" t="s">
        <v>50</v>
      </c>
      <c r="C104" s="9" t="s">
        <v>34</v>
      </c>
      <c r="D104" s="9" t="s">
        <v>35</v>
      </c>
      <c r="E104" s="9" t="s">
        <v>36</v>
      </c>
      <c r="F104" s="9" t="s">
        <v>37</v>
      </c>
      <c r="H104" s="8" t="s">
        <v>54</v>
      </c>
      <c r="I104" s="9" t="s">
        <v>50</v>
      </c>
      <c r="J104" s="9" t="s">
        <v>34</v>
      </c>
      <c r="K104" s="9" t="s">
        <v>35</v>
      </c>
      <c r="L104" s="9" t="s">
        <v>36</v>
      </c>
      <c r="M104" s="9" t="s">
        <v>37</v>
      </c>
      <c r="O104" s="8" t="s">
        <v>54</v>
      </c>
      <c r="P104" s="9" t="s">
        <v>50</v>
      </c>
      <c r="Q104" s="9" t="s">
        <v>34</v>
      </c>
      <c r="R104" s="9" t="s">
        <v>35</v>
      </c>
      <c r="S104" s="9" t="s">
        <v>36</v>
      </c>
      <c r="T104" s="9" t="s">
        <v>37</v>
      </c>
    </row>
    <row r="105" spans="1:20" x14ac:dyDescent="0.2">
      <c r="A105" s="5" t="s">
        <v>312</v>
      </c>
      <c r="B105" s="14" t="s">
        <v>32</v>
      </c>
      <c r="C105" s="7">
        <f>IF(AND(Information!$C$12="Silage-Corn",Information!$L$12="Soybeans"),40,0)</f>
        <v>0</v>
      </c>
      <c r="D105" s="7">
        <f>IF(AND(Information!$C$13="Silage-Corn",Information!$L$13="Soybeans"),40,0)</f>
        <v>0</v>
      </c>
      <c r="E105" s="7">
        <f>IF(AND(Information!$C$14="Silage-Corn",Information!$L$14="Soybeans"),40,0)</f>
        <v>0</v>
      </c>
      <c r="F105" s="7">
        <f>IF(AND(Information!$C$15="Silage-Corn",Information!$L$15="Soybeans"),40,0)</f>
        <v>0</v>
      </c>
      <c r="H105" s="5" t="s">
        <v>312</v>
      </c>
      <c r="I105" s="14" t="s">
        <v>32</v>
      </c>
      <c r="J105" s="7">
        <f>IF(AND(Information!$F$12="Silage-Corn",Information!$L$12="Soybeans"),40,0)</f>
        <v>0</v>
      </c>
      <c r="K105" s="7">
        <f>IF(AND(Information!$F$13="Silage-Corn",Information!$L$13="Soybeans"),40,0)</f>
        <v>0</v>
      </c>
      <c r="L105" s="7">
        <f>IF(AND(Information!$F$14="Silage-Corn",Information!$L$14="Soybeans"),40,0)</f>
        <v>0</v>
      </c>
      <c r="M105" s="7">
        <f>IF(AND(Information!$F$15="Silage-Corn",Information!$L$15="Soybeans"),40,0)</f>
        <v>0</v>
      </c>
      <c r="O105" s="5" t="s">
        <v>312</v>
      </c>
      <c r="P105" s="14" t="s">
        <v>32</v>
      </c>
      <c r="Q105" s="7">
        <f>IF(AND(Information!$I$12="Silage-Corn",Information!$L$12="Soybeans"),40,0)</f>
        <v>0</v>
      </c>
      <c r="R105" s="7">
        <f>IF(AND(Information!$I$13="Silage-Corn",Information!$L$13="Soybeans"),40,0)</f>
        <v>0</v>
      </c>
      <c r="S105" s="7">
        <f>IF(AND(Information!$I$14="Silage-Corn",Information!$L$14="Soybeans"),40,0)</f>
        <v>0</v>
      </c>
      <c r="T105" s="7">
        <f>IF(AND(Information!$I$15="Silage-Corn",Information!$L$15="Soybeans"),40,0)</f>
        <v>0</v>
      </c>
    </row>
    <row r="106" spans="1:20" ht="13.5" thickBot="1" x14ac:dyDescent="0.25">
      <c r="A106" s="15"/>
      <c r="B106" s="12" t="s">
        <v>52</v>
      </c>
      <c r="C106" s="16">
        <f>IF(AND(Information!$F$20="",Information!$L$12="Fallow",Information!$C$12="Silage-Corn"),20,0)</f>
        <v>0</v>
      </c>
      <c r="D106" s="16">
        <f>IF(AND(Information!$F$21="",Information!$L$13="Fallow",Information!$C$13="Silage-Corn"),20,0)</f>
        <v>0</v>
      </c>
      <c r="E106" s="16">
        <f>IF(AND(Information!$F$22="",Information!$L$14="Fallow",Information!$C$14="Silage-Corn"),20,0)</f>
        <v>0</v>
      </c>
      <c r="F106" s="16">
        <f>IF(AND(Information!$F$23="",Information!$L$15="Fallow",Information!$C$15="Silage-Corn"),20,0)</f>
        <v>0</v>
      </c>
      <c r="H106" s="15"/>
      <c r="I106" s="12" t="s">
        <v>52</v>
      </c>
      <c r="J106" s="16">
        <f>IF(AND(Information!$F$20="",Information!$L$12="Fallow",Information!$F$12="Silage-Corn"),20,0)</f>
        <v>0</v>
      </c>
      <c r="K106" s="16">
        <f>IF(AND(Information!$F$21="",Information!$L$13="Fallow",Information!$F$13="Silage-Corn"),20,0)</f>
        <v>0</v>
      </c>
      <c r="L106" s="16">
        <f>IF(AND(Information!$F$22="",Information!$L$14="Fallow",Information!$F$14="Silage-Corn"),20,0)</f>
        <v>0</v>
      </c>
      <c r="M106" s="16">
        <f>IF(AND(Information!$F$23="",Information!$L$15="Fallow",Information!$F$15="Silage-Corn"),20,0)</f>
        <v>0</v>
      </c>
      <c r="O106" s="15"/>
      <c r="P106" s="12" t="s">
        <v>52</v>
      </c>
      <c r="Q106" s="16">
        <f>IF(AND(Information!$F$20="",Information!$L$12="Fallow",Information!$I$12="Silage-Corn"),20,0)</f>
        <v>0</v>
      </c>
      <c r="R106" s="16">
        <f>IF(AND(Information!$F$21="",Information!$L$13="Fallow",Information!$I$13="Silage-Corn"),20,0)</f>
        <v>0</v>
      </c>
      <c r="S106" s="16">
        <f>IF(AND(Information!$F$22="",Information!$L$14="Fallow",Information!$I$14="Silage-Corn"),20,0)</f>
        <v>0</v>
      </c>
      <c r="T106" s="16">
        <f>IF(AND(Information!$F$23="",Information!$L$15="Fallow",Information!$I$15="Silage-Corn"),20,0)</f>
        <v>0</v>
      </c>
    </row>
    <row r="107" spans="1:20" ht="13.5" thickTop="1" x14ac:dyDescent="0.2">
      <c r="B107" s="5"/>
      <c r="C107" s="24">
        <f>SUM(C105:C106)</f>
        <v>0</v>
      </c>
      <c r="D107" s="24">
        <f>SUM(D105:D106)</f>
        <v>0</v>
      </c>
      <c r="E107" s="24">
        <f>SUM(E105:E106)</f>
        <v>0</v>
      </c>
      <c r="F107" s="24">
        <f>SUM(F105:F106)</f>
        <v>0</v>
      </c>
      <c r="I107" s="5"/>
      <c r="J107" s="24">
        <f>SUM(J105:J106)</f>
        <v>0</v>
      </c>
      <c r="K107" s="24">
        <f>SUM(K105:K106)</f>
        <v>0</v>
      </c>
      <c r="L107" s="24">
        <f>SUM(L105:L106)</f>
        <v>0</v>
      </c>
      <c r="M107" s="24">
        <f>SUM(M105:M106)</f>
        <v>0</v>
      </c>
      <c r="P107" s="5"/>
      <c r="Q107" s="24">
        <f>SUM(Q105:Q106)</f>
        <v>0</v>
      </c>
      <c r="R107" s="24">
        <f>SUM(R105:R106)</f>
        <v>0</v>
      </c>
      <c r="S107" s="24">
        <f>SUM(S105:S106)</f>
        <v>0</v>
      </c>
      <c r="T107" s="24">
        <f>SUM(T105:T106)</f>
        <v>0</v>
      </c>
    </row>
    <row r="108" spans="1:20" x14ac:dyDescent="0.2">
      <c r="B108" s="5"/>
      <c r="C108" s="24"/>
      <c r="D108" s="24"/>
      <c r="E108" s="24"/>
      <c r="F108" s="24"/>
      <c r="I108" s="5"/>
      <c r="J108" s="24"/>
      <c r="K108" s="24"/>
      <c r="L108" s="24"/>
      <c r="M108" s="24"/>
      <c r="P108" s="5"/>
      <c r="Q108" s="24"/>
      <c r="R108" s="24"/>
      <c r="S108" s="24"/>
      <c r="T108" s="24"/>
    </row>
    <row r="109" spans="1:20" x14ac:dyDescent="0.2">
      <c r="B109" s="5"/>
      <c r="C109" s="24"/>
      <c r="D109" s="24"/>
      <c r="E109" s="24"/>
      <c r="F109" s="24"/>
      <c r="I109" s="5"/>
      <c r="J109" s="24"/>
      <c r="K109" s="24"/>
      <c r="L109" s="24"/>
      <c r="M109" s="24"/>
      <c r="P109" s="5"/>
      <c r="Q109" s="24"/>
      <c r="R109" s="24"/>
      <c r="S109" s="24"/>
      <c r="T109" s="24"/>
    </row>
    <row r="110" spans="1:20" ht="13.5" thickBot="1" x14ac:dyDescent="0.25">
      <c r="A110" s="8" t="s">
        <v>54</v>
      </c>
      <c r="B110" s="9" t="s">
        <v>50</v>
      </c>
      <c r="C110" s="9" t="s">
        <v>34</v>
      </c>
      <c r="D110" s="9" t="s">
        <v>35</v>
      </c>
      <c r="E110" s="9" t="s">
        <v>36</v>
      </c>
      <c r="F110" s="9" t="s">
        <v>37</v>
      </c>
      <c r="H110" s="8" t="s">
        <v>54</v>
      </c>
      <c r="I110" s="9" t="s">
        <v>50</v>
      </c>
      <c r="J110" s="9" t="s">
        <v>34</v>
      </c>
      <c r="K110" s="9" t="s">
        <v>35</v>
      </c>
      <c r="L110" s="9" t="s">
        <v>36</v>
      </c>
      <c r="M110" s="9" t="s">
        <v>37</v>
      </c>
      <c r="O110" s="8" t="s">
        <v>54</v>
      </c>
      <c r="P110" s="9" t="s">
        <v>50</v>
      </c>
      <c r="Q110" s="9" t="s">
        <v>34</v>
      </c>
      <c r="R110" s="9" t="s">
        <v>35</v>
      </c>
      <c r="S110" s="9" t="s">
        <v>36</v>
      </c>
      <c r="T110" s="9" t="s">
        <v>37</v>
      </c>
    </row>
    <row r="111" spans="1:20" x14ac:dyDescent="0.2">
      <c r="A111" s="5" t="s">
        <v>313</v>
      </c>
      <c r="B111" s="14" t="s">
        <v>32</v>
      </c>
      <c r="C111" s="7">
        <f>IF(AND(Information!$C$12="Silage-Sorghum",Information!$L$12="Soybeans"),40,0)</f>
        <v>0</v>
      </c>
      <c r="D111" s="7">
        <f>IF(AND(Information!$C$13="Silage-Sorghum",Information!$L$13="Soybeans"),40,0)</f>
        <v>0</v>
      </c>
      <c r="E111" s="7">
        <f>IF(AND(Information!$C$14="Silage-Sorghum",Information!$L$14="Soybeans"),40,0)</f>
        <v>0</v>
      </c>
      <c r="F111" s="7">
        <f>IF(AND(Information!$C$15="Silage-Sorghum",Information!$L$15="Soybeans"),40,0)</f>
        <v>0</v>
      </c>
      <c r="H111" s="5" t="s">
        <v>313</v>
      </c>
      <c r="I111" s="14" t="s">
        <v>32</v>
      </c>
      <c r="J111" s="7">
        <f>IF(AND(Information!$F$12="Silage-Sorghum",Information!$L$12="Soybeans"),40,0)</f>
        <v>0</v>
      </c>
      <c r="K111" s="7">
        <f>IF(AND(Information!$F$13="Silage-Sorghum",Information!$L$13="Soybeans"),40,0)</f>
        <v>0</v>
      </c>
      <c r="L111" s="7">
        <f>IF(AND(Information!$F$14="Silage-Sorghum",Information!$L$14="Soybeans"),40,0)</f>
        <v>0</v>
      </c>
      <c r="M111" s="7">
        <f>IF(AND(Information!$F$15="Silage-Sorghum",Information!$L$15="Soybeans"),40,0)</f>
        <v>0</v>
      </c>
      <c r="O111" s="5" t="s">
        <v>313</v>
      </c>
      <c r="P111" s="14" t="s">
        <v>32</v>
      </c>
      <c r="Q111" s="7">
        <f>IF(AND(Information!$I$12="Silage-Sorghum",Information!$L$12="Soybeans"),40,0)</f>
        <v>0</v>
      </c>
      <c r="R111" s="7">
        <f>IF(AND(Information!$I$13="Silage-Sorghum",Information!$L$13="Soybeans"),40,0)</f>
        <v>0</v>
      </c>
      <c r="S111" s="7">
        <f>IF(AND(Information!$I$14="Silage-Sorghum",Information!$L$14="Soybeans"),40,0)</f>
        <v>0</v>
      </c>
      <c r="T111" s="7">
        <f>IF(AND(Information!$I$15="Silage-Sorghum",Information!$L$15="Soybeans"),40,0)</f>
        <v>0</v>
      </c>
    </row>
    <row r="112" spans="1:20" ht="13.5" thickBot="1" x14ac:dyDescent="0.25">
      <c r="A112" s="15"/>
      <c r="B112" s="12" t="s">
        <v>52</v>
      </c>
      <c r="C112" s="16">
        <f>IF(AND(Information!$F$20="",Information!$L$12="Fallow",Information!$C$12="Silage-Sorghum"),20,0)</f>
        <v>0</v>
      </c>
      <c r="D112" s="16">
        <f>IF(AND(Information!$F$21="",Information!$L$13="Fallow",Information!$C$13="Silage-Sorghum"),20,0)</f>
        <v>0</v>
      </c>
      <c r="E112" s="16">
        <f>IF(AND(Information!$F$22="",Information!$L$14="Fallow",Information!$C$14="Silage-Sorghum"),20,0)</f>
        <v>0</v>
      </c>
      <c r="F112" s="16">
        <f>IF(AND(Information!$F$23="",Information!$L$15="Fallow",Information!$C$15="Silage-Sorghum"),20,0)</f>
        <v>0</v>
      </c>
      <c r="H112" s="15"/>
      <c r="I112" s="12" t="s">
        <v>52</v>
      </c>
      <c r="J112" s="16">
        <f>IF(AND(Information!$F$20="",Information!$L$12="Fallow",Information!$F$12="Silage-Sorghum"),20,0)</f>
        <v>0</v>
      </c>
      <c r="K112" s="16">
        <f>IF(AND(Information!$F$21="",Information!$L$13="Fallow",Information!$F$13="Silage-Sorghum"),20,0)</f>
        <v>0</v>
      </c>
      <c r="L112" s="16">
        <f>IF(AND(Information!$F$22="",Information!$L$14="Fallow",Information!$F$14="Silage-Sorghum"),20,0)</f>
        <v>0</v>
      </c>
      <c r="M112" s="16">
        <f>IF(AND(Information!$F$23="",Information!$L$15="Fallow",Information!$F$15="Silage-Sorghum"),20,0)</f>
        <v>0</v>
      </c>
      <c r="O112" s="15"/>
      <c r="P112" s="12" t="s">
        <v>52</v>
      </c>
      <c r="Q112" s="16">
        <f>IF(AND(Information!$F$20="",Information!$L$12="Fallow",Information!$I$12="Silage-Sorghum"),20,0)</f>
        <v>0</v>
      </c>
      <c r="R112" s="16">
        <f>IF(AND(Information!$F$21="",Information!$L$13="Fallow",Information!$I$13="Silage-Sorghum"),20,0)</f>
        <v>0</v>
      </c>
      <c r="S112" s="16">
        <f>IF(AND(Information!$F$22="",Information!$L$14="Fallow",Information!$I$14="Silage-Sorghum"),20,0)</f>
        <v>0</v>
      </c>
      <c r="T112" s="16">
        <f>IF(AND(Information!$F$23="",Information!$L$15="Fallow",Information!$I$15="Silage-Sorghum"),20,0)</f>
        <v>0</v>
      </c>
    </row>
    <row r="113" spans="1:20" ht="13.5" thickTop="1" x14ac:dyDescent="0.2">
      <c r="B113" s="5"/>
      <c r="C113" s="24">
        <f>SUM(C111:C112)</f>
        <v>0</v>
      </c>
      <c r="D113" s="24">
        <f>SUM(D111:D112)</f>
        <v>0</v>
      </c>
      <c r="E113" s="24">
        <f>SUM(E111:E112)</f>
        <v>0</v>
      </c>
      <c r="F113" s="24">
        <f>SUM(F111:F112)</f>
        <v>0</v>
      </c>
      <c r="I113" s="5"/>
      <c r="J113" s="24">
        <f>SUM(J111:J112)</f>
        <v>0</v>
      </c>
      <c r="K113" s="24">
        <f>SUM(K111:K112)</f>
        <v>0</v>
      </c>
      <c r="L113" s="24">
        <f>SUM(L111:L112)</f>
        <v>0</v>
      </c>
      <c r="M113" s="24">
        <f>SUM(M111:M112)</f>
        <v>0</v>
      </c>
      <c r="P113" s="5"/>
      <c r="Q113" s="24">
        <f>SUM(Q111:Q112)</f>
        <v>0</v>
      </c>
      <c r="R113" s="24">
        <f>SUM(R111:R112)</f>
        <v>0</v>
      </c>
      <c r="S113" s="24">
        <f>SUM(S111:S112)</f>
        <v>0</v>
      </c>
      <c r="T113" s="24">
        <f>SUM(T111:T112)</f>
        <v>0</v>
      </c>
    </row>
    <row r="115" spans="1:20" ht="13.5" thickBot="1" x14ac:dyDescent="0.25">
      <c r="A115" s="8" t="s">
        <v>87</v>
      </c>
      <c r="B115" s="9"/>
      <c r="C115" s="9" t="s">
        <v>34</v>
      </c>
      <c r="D115" s="9" t="s">
        <v>35</v>
      </c>
      <c r="E115" s="9" t="s">
        <v>36</v>
      </c>
      <c r="F115" s="9" t="s">
        <v>37</v>
      </c>
      <c r="H115" s="8" t="s">
        <v>87</v>
      </c>
      <c r="I115" s="9"/>
      <c r="J115" s="9" t="s">
        <v>34</v>
      </c>
      <c r="K115" s="9" t="s">
        <v>35</v>
      </c>
      <c r="L115" s="9" t="s">
        <v>36</v>
      </c>
      <c r="M115" s="9" t="s">
        <v>37</v>
      </c>
      <c r="O115" s="8" t="s">
        <v>87</v>
      </c>
      <c r="P115" s="9"/>
      <c r="Q115" s="9" t="s">
        <v>34</v>
      </c>
      <c r="R115" s="9" t="s">
        <v>35</v>
      </c>
      <c r="S115" s="9" t="s">
        <v>36</v>
      </c>
      <c r="T115" s="9" t="s">
        <v>37</v>
      </c>
    </row>
    <row r="116" spans="1:20" x14ac:dyDescent="0.2">
      <c r="A116" s="6" t="s">
        <v>38</v>
      </c>
      <c r="B116" s="18"/>
      <c r="C116" s="25">
        <f>IF(AND(Information!$C$12="Wheat",Information!$I$7="No-till"),20,0)</f>
        <v>0</v>
      </c>
      <c r="D116" s="25">
        <f>IF(AND(Information!$C$13="Wheat",Information!$I$7="No-till"),20,0)</f>
        <v>0</v>
      </c>
      <c r="E116" s="25">
        <f>IF(AND(Information!$C$14="Wheat",Information!$I$7="No-till"),20,0)</f>
        <v>0</v>
      </c>
      <c r="F116" s="25">
        <f>IF(AND(Information!$C$15="Wheat",Information!$I$7="No-till"),20,0)</f>
        <v>0</v>
      </c>
      <c r="H116" s="6"/>
      <c r="I116" s="18"/>
      <c r="J116" s="25">
        <f>IF(AND(Information!$F$12="Wheat",Information!$I$7="No-till"),20,0)</f>
        <v>0</v>
      </c>
      <c r="K116" s="25">
        <f>IF(AND(Information!$F$13="Wheat",Information!$I$7="No-till"),20,0)</f>
        <v>0</v>
      </c>
      <c r="L116" s="25">
        <f>IF(AND(Information!$F$14="Wheat",Information!$I$7="No-till"),20,0)</f>
        <v>0</v>
      </c>
      <c r="M116" s="25">
        <f>IF(AND(Information!$F$15="Wheat",Information!$I$7="No-till"),20,0)</f>
        <v>0</v>
      </c>
      <c r="O116" s="6"/>
      <c r="P116" s="18"/>
      <c r="Q116" s="25">
        <f>IF(AND(Information!$I$12="Wheat",Information!$I$7="No-till"),20,0)</f>
        <v>0</v>
      </c>
      <c r="R116" s="25">
        <f>IF(AND(Information!$I$13="Wheat",Information!$I$7="No-till"),20,0)</f>
        <v>0</v>
      </c>
      <c r="S116" s="25">
        <f>IF(AND(Information!$I$14="Wheat",Information!$I$7="No-till"),20,0)</f>
        <v>0</v>
      </c>
      <c r="T116" s="25">
        <f>IF(AND(Information!$I$15="Wheat",Information!$I$7="No-till"),20,0)</f>
        <v>0</v>
      </c>
    </row>
    <row r="117" spans="1:20" s="133" customFormat="1" x14ac:dyDescent="0.2">
      <c r="A117" s="132"/>
      <c r="B117" s="25"/>
      <c r="C117" s="25"/>
      <c r="D117" s="25"/>
      <c r="E117" s="25"/>
      <c r="F117" s="25"/>
      <c r="H117" s="132"/>
      <c r="I117" s="25"/>
      <c r="J117" s="25"/>
      <c r="K117" s="25"/>
      <c r="L117" s="25"/>
      <c r="M117" s="25"/>
      <c r="O117" s="132"/>
      <c r="P117" s="25"/>
      <c r="Q117" s="25"/>
      <c r="R117" s="25"/>
      <c r="S117" s="25"/>
      <c r="T117" s="25"/>
    </row>
    <row r="119" spans="1:20" ht="15.75" x14ac:dyDescent="0.25">
      <c r="C119" s="247" t="s">
        <v>61</v>
      </c>
      <c r="D119" s="247"/>
      <c r="E119" s="247"/>
      <c r="F119" s="247"/>
      <c r="J119" s="247" t="s">
        <v>61</v>
      </c>
      <c r="K119" s="247"/>
      <c r="L119" s="247"/>
      <c r="M119" s="247"/>
      <c r="Q119" s="247" t="s">
        <v>61</v>
      </c>
      <c r="R119" s="247"/>
      <c r="S119" s="247"/>
      <c r="T119" s="247"/>
    </row>
    <row r="120" spans="1:20" ht="13.5" thickBot="1" x14ac:dyDescent="0.25">
      <c r="C120" s="9" t="s">
        <v>34</v>
      </c>
      <c r="D120" s="9" t="s">
        <v>35</v>
      </c>
      <c r="E120" s="9" t="s">
        <v>36</v>
      </c>
      <c r="F120" s="9" t="s">
        <v>37</v>
      </c>
      <c r="J120" s="9" t="s">
        <v>34</v>
      </c>
      <c r="K120" s="9" t="s">
        <v>35</v>
      </c>
      <c r="L120" s="9" t="s">
        <v>36</v>
      </c>
      <c r="M120" s="9" t="s">
        <v>37</v>
      </c>
      <c r="Q120" s="9" t="s">
        <v>34</v>
      </c>
      <c r="R120" s="9" t="s">
        <v>35</v>
      </c>
      <c r="S120" s="9" t="s">
        <v>36</v>
      </c>
      <c r="T120" s="9" t="s">
        <v>37</v>
      </c>
    </row>
    <row r="121" spans="1:20" x14ac:dyDescent="0.2">
      <c r="C121" s="26">
        <f>_xlfn.CEILING.MATH(IF(SUM(B20-B40-B44-C64-C83-C102-C107-C113+C116)&gt;0,SUM(B20-B40-B44-C64-C83-C102-C107-C113+C116),0),5)</f>
        <v>0</v>
      </c>
      <c r="D121" s="26">
        <f>_xlfn.CEILING.MATH(IF(SUM(C20-C40-C44-D64-D83-D102-D107-D113+D116)&gt;0,SUM(C20-C40-C44-D64-D83-D102-D107-D113+D116),0),5)</f>
        <v>0</v>
      </c>
      <c r="E121" s="26">
        <f>_xlfn.CEILING.MATH(IF(SUM(D20-D40-D44-E64-E83-E102-E107-E113+E116)&gt;0,SUM(D20-D40-D44-E64-E83-E102-E107-E113+E116),0),5)</f>
        <v>0</v>
      </c>
      <c r="F121" s="26">
        <f>_xlfn.CEILING.MATH(IF(SUM(E20-E40-E44-F64-F83-F102-F107-F113+F116)&gt;0,SUM(E20-E40-E44-F64-F83-F102-F107-F113+F116),0),5)</f>
        <v>0</v>
      </c>
      <c r="J121" s="26">
        <f>_xlfn.CEILING.MATH(IF(SUM(I20-I40-I44-J64-J83-J102-J107-J113+J116)&gt;0,SUM(I20-I40-I44-J64-J83-J102-J107-J113+J116),0),5)</f>
        <v>0</v>
      </c>
      <c r="K121" s="26">
        <f>_xlfn.CEILING.MATH(IF(SUM(J20-J40-J44-K64-K83-K102-K107-K113+K116)&gt;0,SUM(J20-J40-J44-K64-K83-K102-K107-K113+K116),0),5)</f>
        <v>0</v>
      </c>
      <c r="L121" s="26">
        <f>_xlfn.CEILING.MATH(IF(SUM(K20-K40-K44-L64-L83-L102-L107-L113+L116)&gt;0,SUM(K20-K40-K44-L64-L83-L102-L107-L113+L116),0),5)</f>
        <v>0</v>
      </c>
      <c r="M121" s="26">
        <f>_xlfn.CEILING.MATH(IF(SUM(L20-L40-L44-M64-M83-M102-M107-M113+M116)&gt;0,SUM(L20-L40-L44-M64-M83-M102-M107-M113+M116),0),5)</f>
        <v>0</v>
      </c>
      <c r="Q121" s="26">
        <f>_xlfn.CEILING.MATH(IF(SUM(P20-P40-P44-Q64-Q83-Q102-Q107-Q113+Q116)&gt;0,SUM(P20-P40-P44-Q64-Q83-Q102-Q107-Q113+Q116),0),5)</f>
        <v>0</v>
      </c>
      <c r="R121" s="26">
        <f>_xlfn.CEILING.MATH(IF(SUM(Q20-Q40-Q44-R64-R83-R102-R107-R113+R116)&gt;0,SUM(Q20-Q40-Q44-R64-R83-R102-R107-R113+R116),0),5)</f>
        <v>0</v>
      </c>
      <c r="S121" s="26">
        <f>_xlfn.CEILING.MATH(IF(SUM(R20-R40-R44-S64-S83-S102-S107-S113+S116)&gt;0,SUM(R20-R40-R44-S64-S83-S102-S107-S113+S116),0),5)</f>
        <v>0</v>
      </c>
      <c r="T121" s="26">
        <f>_xlfn.CEILING.MATH(IF(SUM(S20-S40-S44-T64-T83-T102-T107-T113+T116)&gt;0,SUM(S20-S40-S44-T64-T83-T102-T107-T113+T116),0),5)</f>
        <v>0</v>
      </c>
    </row>
  </sheetData>
  <mergeCells count="6">
    <mergeCell ref="O1:T1"/>
    <mergeCell ref="Q119:T119"/>
    <mergeCell ref="A1:F1"/>
    <mergeCell ref="C119:F119"/>
    <mergeCell ref="H1:M1"/>
    <mergeCell ref="J119:M119"/>
  </mergeCells>
  <phoneticPr fontId="4" type="noConversion"/>
  <pageMargins left="0.75" right="0.75" top="1" bottom="1" header="0.5" footer="0.5"/>
  <pageSetup orientation="portrait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Yield Goals</vt:lpstr>
      <vt:lpstr>Information</vt:lpstr>
      <vt:lpstr>Sufficiency Recommendations</vt:lpstr>
      <vt:lpstr>Build-maint. Recommendations</vt:lpstr>
      <vt:lpstr>P Rec. Build</vt:lpstr>
      <vt:lpstr>K Rec. Build</vt:lpstr>
      <vt:lpstr>Crop Removal Factors</vt:lpstr>
      <vt:lpstr>Lime Rec.</vt:lpstr>
      <vt:lpstr>N Rec.</vt:lpstr>
      <vt:lpstr>P Rec.</vt:lpstr>
      <vt:lpstr>K Rec.</vt:lpstr>
      <vt:lpstr>Zn Rec.</vt:lpstr>
      <vt:lpstr>S Rec.</vt:lpstr>
      <vt:lpstr>Cl Rec.</vt:lpstr>
      <vt:lpstr>B Rec.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Godsey</dc:creator>
  <cp:lastModifiedBy>Edmond Rutter</cp:lastModifiedBy>
  <cp:lastPrinted>2003-12-22T15:50:48Z</cp:lastPrinted>
  <dcterms:created xsi:type="dcterms:W3CDTF">2002-10-28T16:24:14Z</dcterms:created>
  <dcterms:modified xsi:type="dcterms:W3CDTF">2024-11-08T16:54:44Z</dcterms:modified>
</cp:coreProperties>
</file>